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eandeelywoods/Documents/MyBooks/Sublight/Ships/Isto/Van Gogh Class/"/>
    </mc:Choice>
  </mc:AlternateContent>
  <xr:revisionPtr revIDLastSave="0" documentId="13_ncr:1_{E53F4BB3-EC04-004E-A58B-9908734722AB}" xr6:coauthVersionLast="36" xr6:coauthVersionMax="36" xr10:uidLastSave="{00000000-0000-0000-0000-000000000000}"/>
  <bookViews>
    <workbookView xWindow="10220" yWindow="820" windowWidth="21220" windowHeight="16660" firstSheet="2" activeTab="4" xr2:uid="{2A010409-9824-F840-AAED-35081E418E98}"/>
  </bookViews>
  <sheets>
    <sheet name="Vehicle" sheetId="1" r:id="rId1"/>
    <sheet name="Performance" sheetId="36" r:id="rId2"/>
    <sheet name="VoyPluto" sheetId="31" r:id="rId3"/>
    <sheet name="VoyComet" sheetId="32" r:id="rId4"/>
    <sheet name="Structure" sheetId="33" r:id="rId5"/>
    <sheet name="Habitat" sheetId="18" r:id="rId6"/>
    <sheet name="Gravity" sheetId="19" r:id="rId7"/>
    <sheet name="Conversion" sheetId="27" r:id="rId8"/>
    <sheet name="Sheet2" sheetId="17" r:id="rId9"/>
    <sheet name="Isotope Plant" sheetId="30" r:id="rId10"/>
    <sheet name="Power Consumption" sheetId="13" r:id="rId11"/>
    <sheet name="Vocations" sheetId="24" r:id="rId12"/>
    <sheet name="Billet" sheetId="29" r:id="rId13"/>
    <sheet name="Agriculture" sheetId="9" r:id="rId14"/>
    <sheet name="Crops" sheetId="21" r:id="rId15"/>
    <sheet name="Diet" sheetId="20" r:id="rId16"/>
    <sheet name="Aquaculture" sheetId="14" r:id="rId17"/>
    <sheet name="Cattle" sheetId="8" r:id="rId18"/>
    <sheet name="Protein" sheetId="15" r:id="rId19"/>
  </sheets>
  <definedNames>
    <definedName name="_xlnm._FilterDatabase" localSheetId="11" hidden="1">Vocations!$A:$A</definedName>
    <definedName name="_xlnm.Criteria" localSheetId="11">Vocations!$A:$A</definedName>
    <definedName name="_xlnm.Extract" localSheetId="11">Vocations!$B$16</definedName>
    <definedName name="_xlnm.Print_Area" localSheetId="11">Vocations!$A$1:$G$44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9" i="1"/>
  <c r="D27" i="32" l="1"/>
  <c r="H26" i="32"/>
  <c r="B26" i="32"/>
  <c r="C26" i="32" s="1"/>
  <c r="B27" i="32"/>
  <c r="H27" i="32"/>
  <c r="D26" i="32" l="1"/>
  <c r="I26" i="32" l="1"/>
  <c r="E26" i="32"/>
  <c r="K26" i="32" s="1"/>
  <c r="L26" i="32"/>
  <c r="M26" i="32" s="1"/>
  <c r="G26" i="32"/>
  <c r="N26" i="32" l="1"/>
  <c r="O26" i="32" s="1"/>
  <c r="F26" i="32"/>
  <c r="C8" i="36" l="1"/>
  <c r="C35" i="32" s="1"/>
  <c r="C34" i="32"/>
  <c r="H6" i="32" s="1"/>
  <c r="G2" i="32"/>
  <c r="E2" i="32"/>
  <c r="D53" i="19"/>
  <c r="D54" i="19" s="1"/>
  <c r="F54" i="19" s="1"/>
  <c r="K46" i="19"/>
  <c r="J53" i="19"/>
  <c r="S54" i="19"/>
  <c r="R54" i="19"/>
  <c r="P54" i="19"/>
  <c r="O54" i="19"/>
  <c r="N54" i="19"/>
  <c r="D44" i="19"/>
  <c r="D45" i="19" s="1"/>
  <c r="D46" i="19" s="1"/>
  <c r="D47" i="19" s="1"/>
  <c r="D48" i="19" s="1"/>
  <c r="D49" i="19" s="1"/>
  <c r="D50" i="19" s="1"/>
  <c r="D51" i="19" s="1"/>
  <c r="D52" i="19" s="1"/>
  <c r="D43" i="19"/>
  <c r="C11" i="18"/>
  <c r="R39" i="19"/>
  <c r="R40" i="19"/>
  <c r="R41" i="19"/>
  <c r="R38" i="19"/>
  <c r="R12" i="19"/>
  <c r="R13" i="19"/>
  <c r="R14" i="19"/>
  <c r="R15" i="19"/>
  <c r="R16" i="19"/>
  <c r="R17" i="19"/>
  <c r="R18" i="19"/>
  <c r="R19" i="19"/>
  <c r="R20" i="19"/>
  <c r="R21" i="19"/>
  <c r="R22" i="19"/>
  <c r="R23" i="19"/>
  <c r="R24" i="19"/>
  <c r="R25" i="19"/>
  <c r="R26" i="19"/>
  <c r="R27" i="19"/>
  <c r="R28" i="19"/>
  <c r="R29" i="19"/>
  <c r="R30" i="19"/>
  <c r="R31" i="19"/>
  <c r="R32" i="19"/>
  <c r="R33" i="19"/>
  <c r="R34" i="19"/>
  <c r="R35" i="19"/>
  <c r="R36" i="19"/>
  <c r="R37" i="19"/>
  <c r="R42" i="19"/>
  <c r="R11" i="19"/>
  <c r="D37" i="19"/>
  <c r="D29" i="19"/>
  <c r="D14" i="19"/>
  <c r="D13" i="19"/>
  <c r="D12" i="19"/>
  <c r="D11" i="19"/>
  <c r="I10" i="18"/>
  <c r="B26" i="33"/>
  <c r="B43" i="33"/>
  <c r="B42" i="33"/>
  <c r="C5" i="19"/>
  <c r="E41" i="18"/>
  <c r="E1" i="18"/>
  <c r="E8" i="18" s="1"/>
  <c r="B53" i="33"/>
  <c r="B45" i="33"/>
  <c r="B44" i="33"/>
  <c r="C28" i="30"/>
  <c r="B55" i="33"/>
  <c r="B54" i="33"/>
  <c r="C3" i="30"/>
  <c r="C13" i="30"/>
  <c r="C26" i="30"/>
  <c r="E22" i="32"/>
  <c r="C22" i="32"/>
  <c r="F21" i="32"/>
  <c r="B52" i="31"/>
  <c r="C21" i="31"/>
  <c r="C20" i="31"/>
  <c r="C19" i="31"/>
  <c r="G18" i="31"/>
  <c r="G17" i="31"/>
  <c r="E10" i="31"/>
  <c r="C2" i="36"/>
  <c r="H11" i="32" s="1"/>
  <c r="E50" i="36"/>
  <c r="D50" i="36"/>
  <c r="E47" i="36"/>
  <c r="E48" i="36"/>
  <c r="D48" i="36"/>
  <c r="D47" i="36"/>
  <c r="C62" i="36"/>
  <c r="C64" i="36" s="1"/>
  <c r="E49" i="36"/>
  <c r="D49" i="36"/>
  <c r="E39" i="36"/>
  <c r="G8" i="36"/>
  <c r="B14" i="1"/>
  <c r="B11" i="1" s="1"/>
  <c r="B10" i="1" s="1"/>
  <c r="D16" i="1"/>
  <c r="D14" i="1"/>
  <c r="E53" i="19" l="1"/>
  <c r="H53" i="19" s="1"/>
  <c r="L53" i="19" s="1"/>
  <c r="M53" i="19"/>
  <c r="J54" i="19"/>
  <c r="F53" i="19"/>
  <c r="E54" i="19"/>
  <c r="H54" i="19" s="1"/>
  <c r="D15" i="19"/>
  <c r="D16" i="19" s="1"/>
  <c r="D17" i="19" s="1"/>
  <c r="D18" i="19" s="1"/>
  <c r="D19" i="19" s="1"/>
  <c r="D20" i="19" s="1"/>
  <c r="D21" i="19" s="1"/>
  <c r="D22" i="19" s="1"/>
  <c r="D23" i="19" s="1"/>
  <c r="D24" i="19" s="1"/>
  <c r="D25" i="19" s="1"/>
  <c r="D26" i="19" s="1"/>
  <c r="D27" i="19" s="1"/>
  <c r="D28" i="19" s="1"/>
  <c r="D30" i="19" s="1"/>
  <c r="D31" i="19" s="1"/>
  <c r="D32" i="19" s="1"/>
  <c r="D33" i="19" s="1"/>
  <c r="D34" i="19" s="1"/>
  <c r="D35" i="19" s="1"/>
  <c r="D36" i="19" s="1"/>
  <c r="D38" i="19" s="1"/>
  <c r="D39" i="19" s="1"/>
  <c r="D40" i="19" s="1"/>
  <c r="D41" i="19" s="1"/>
  <c r="D42" i="19" s="1"/>
  <c r="E13" i="32"/>
  <c r="B23" i="1"/>
  <c r="E8" i="32"/>
  <c r="C5" i="36"/>
  <c r="C4" i="36" s="1"/>
  <c r="C14" i="30"/>
  <c r="C31" i="32" s="1"/>
  <c r="F6" i="31"/>
  <c r="H13" i="32"/>
  <c r="F7" i="31"/>
  <c r="I7" i="31" s="1"/>
  <c r="C7" i="31"/>
  <c r="H8" i="32"/>
  <c r="F22" i="32"/>
  <c r="E21" i="31"/>
  <c r="I6" i="31"/>
  <c r="E19" i="31"/>
  <c r="C6" i="36"/>
  <c r="F48" i="36"/>
  <c r="G48" i="36" s="1"/>
  <c r="F49" i="36"/>
  <c r="G49" i="36" s="1"/>
  <c r="C13" i="36" s="1"/>
  <c r="F47" i="36"/>
  <c r="G47" i="36" s="1"/>
  <c r="F50" i="36"/>
  <c r="G50" i="36" s="1"/>
  <c r="D65" i="36"/>
  <c r="D66" i="36"/>
  <c r="B34" i="33"/>
  <c r="D9" i="1"/>
  <c r="G53" i="19" l="1"/>
  <c r="K53" i="19"/>
  <c r="I53" i="19" s="1"/>
  <c r="N53" i="19"/>
  <c r="O53" i="19"/>
  <c r="S53" i="19"/>
  <c r="P53" i="19"/>
  <c r="R53" i="19"/>
  <c r="Q53" i="19"/>
  <c r="K54" i="19"/>
  <c r="I54" i="19" s="1"/>
  <c r="M54" i="19"/>
  <c r="Q54" i="19" s="1"/>
  <c r="L54" i="19"/>
  <c r="G54" i="19"/>
  <c r="D55" i="19"/>
  <c r="D56" i="19" s="1"/>
  <c r="D57" i="19" s="1"/>
  <c r="D58" i="19" s="1"/>
  <c r="D59" i="19" s="1"/>
  <c r="D60" i="19" s="1"/>
  <c r="D61" i="19" s="1"/>
  <c r="D62" i="19" s="1"/>
  <c r="D63" i="19" s="1"/>
  <c r="D64" i="19" s="1"/>
  <c r="D65" i="19" s="1"/>
  <c r="D66" i="19" s="1"/>
  <c r="D67" i="19" s="1"/>
  <c r="D68" i="19" s="1"/>
  <c r="D69" i="19" s="1"/>
  <c r="D70" i="19" s="1"/>
  <c r="D71" i="19" s="1"/>
  <c r="D72" i="19" s="1"/>
  <c r="D73" i="19" s="1"/>
  <c r="D74" i="19" s="1"/>
  <c r="D75" i="19" s="1"/>
  <c r="D76" i="19" s="1"/>
  <c r="D77" i="19" s="1"/>
  <c r="D78" i="19" s="1"/>
  <c r="D79" i="19" s="1"/>
  <c r="D80" i="19" s="1"/>
  <c r="D81" i="19" s="1"/>
  <c r="D82" i="19" s="1"/>
  <c r="D83" i="19" s="1"/>
  <c r="D84" i="19" s="1"/>
  <c r="D85" i="19" s="1"/>
  <c r="D86" i="19" s="1"/>
  <c r="D87" i="19" s="1"/>
  <c r="D88" i="19" s="1"/>
  <c r="B37" i="33"/>
  <c r="B56" i="33"/>
  <c r="C52" i="33" s="1"/>
  <c r="C33" i="32"/>
  <c r="B7" i="31" l="1"/>
  <c r="D13" i="32"/>
  <c r="E11" i="32" s="1"/>
  <c r="D11" i="32" s="1"/>
  <c r="C3" i="36"/>
  <c r="C7" i="36"/>
  <c r="C16" i="36"/>
  <c r="E16" i="36" s="1"/>
  <c r="C9" i="36"/>
  <c r="E8" i="36"/>
  <c r="D36" i="32" l="1"/>
  <c r="C36" i="32"/>
  <c r="K8" i="32"/>
  <c r="K11" i="32"/>
  <c r="K13" i="32"/>
  <c r="C57" i="32"/>
  <c r="C55" i="32"/>
  <c r="L11" i="32"/>
  <c r="L13" i="32"/>
  <c r="C6" i="31"/>
  <c r="C29" i="31" s="1"/>
  <c r="E29" i="31" s="1"/>
  <c r="C36" i="31"/>
  <c r="C42" i="31"/>
  <c r="E42" i="31" s="1"/>
  <c r="G7" i="31"/>
  <c r="C40" i="31" s="1"/>
  <c r="E40" i="31" s="1"/>
  <c r="G16" i="36"/>
  <c r="C14" i="36"/>
  <c r="C11" i="36" s="1"/>
  <c r="G4" i="36"/>
  <c r="N13" i="32" l="1"/>
  <c r="N11" i="32"/>
  <c r="B6" i="31"/>
  <c r="G6" i="31" s="1"/>
  <c r="C27" i="31" s="1"/>
  <c r="C15" i="36"/>
  <c r="G30" i="36"/>
  <c r="E30" i="36" s="1"/>
  <c r="E7" i="36"/>
  <c r="C30" i="36"/>
  <c r="C23" i="31" l="1"/>
  <c r="E6" i="31"/>
  <c r="D6" i="31" s="1"/>
  <c r="C24" i="31" s="1"/>
  <c r="G13" i="32"/>
  <c r="F13" i="32" s="1"/>
  <c r="O13" i="32" s="1"/>
  <c r="G11" i="32"/>
  <c r="F11" i="32" s="1"/>
  <c r="O11" i="32" s="1"/>
  <c r="E7" i="31"/>
  <c r="C33" i="31"/>
  <c r="G27" i="31"/>
  <c r="C3" i="31" l="1"/>
  <c r="C25" i="31"/>
  <c r="C31" i="31" s="1"/>
  <c r="H6" i="31"/>
  <c r="E28" i="31" s="1"/>
  <c r="C11" i="31" s="1"/>
  <c r="D7" i="31"/>
  <c r="C2" i="31" s="1"/>
  <c r="C38" i="31"/>
  <c r="E33" i="31"/>
  <c r="G33" i="31"/>
  <c r="C26" i="31" l="1"/>
  <c r="E26" i="31" s="1"/>
  <c r="C28" i="31"/>
  <c r="C37" i="31"/>
  <c r="C39" i="31" s="1"/>
  <c r="H7" i="31"/>
  <c r="C46" i="31" s="1"/>
  <c r="E46" i="31" s="1"/>
  <c r="G46" i="31" s="1"/>
  <c r="E11" i="31"/>
  <c r="B53" i="31"/>
  <c r="C44" i="31" l="1"/>
  <c r="G26" i="31"/>
  <c r="C34" i="31"/>
  <c r="E34" i="31" s="1"/>
  <c r="C32" i="31"/>
  <c r="E41" i="31"/>
  <c r="C41" i="31"/>
  <c r="B54" i="31"/>
  <c r="A53" i="31"/>
  <c r="E14" i="31" l="1"/>
  <c r="C14" i="31" s="1"/>
  <c r="G14" i="31" s="1"/>
  <c r="A54" i="31"/>
  <c r="B55" i="31"/>
  <c r="C13" i="31" l="1"/>
  <c r="C12" i="31" s="1"/>
  <c r="G55" i="31" s="1"/>
  <c r="C55" i="31" s="1"/>
  <c r="J55" i="31" s="1"/>
  <c r="G52" i="31"/>
  <c r="A55" i="31"/>
  <c r="B56" i="31"/>
  <c r="B57" i="31" s="1"/>
  <c r="B58" i="31" s="1"/>
  <c r="B59" i="31" s="1"/>
  <c r="B60" i="31" s="1"/>
  <c r="B61" i="31" s="1"/>
  <c r="E13" i="31" l="1"/>
  <c r="G53" i="31"/>
  <c r="H53" i="31" s="1"/>
  <c r="B62" i="31"/>
  <c r="B63" i="31" s="1"/>
  <c r="B64" i="31" s="1"/>
  <c r="B65" i="31" s="1"/>
  <c r="B66" i="31" s="1"/>
  <c r="B67" i="31" s="1"/>
  <c r="B68" i="31" s="1"/>
  <c r="B69" i="31" s="1"/>
  <c r="B70" i="31" s="1"/>
  <c r="B71" i="31" s="1"/>
  <c r="B72" i="31" s="1"/>
  <c r="B73" i="31" s="1"/>
  <c r="B74" i="31" s="1"/>
  <c r="B75" i="31" s="1"/>
  <c r="B76" i="31" s="1"/>
  <c r="B77" i="31" s="1"/>
  <c r="B78" i="31" s="1"/>
  <c r="B79" i="31" s="1"/>
  <c r="C52" i="31"/>
  <c r="J52" i="31" s="1"/>
  <c r="H52" i="31"/>
  <c r="E12" i="31"/>
  <c r="G54" i="31"/>
  <c r="A56" i="31"/>
  <c r="G56" i="31"/>
  <c r="H55" i="31"/>
  <c r="I55" i="31"/>
  <c r="C53" i="31" l="1"/>
  <c r="J53" i="31" s="1"/>
  <c r="I52" i="31"/>
  <c r="K52" i="31" s="1"/>
  <c r="C54" i="31"/>
  <c r="J54" i="31" s="1"/>
  <c r="H54" i="31"/>
  <c r="K55" i="31"/>
  <c r="L55" i="31"/>
  <c r="F55" i="31" s="1"/>
  <c r="E55" i="31" s="1"/>
  <c r="G57" i="31"/>
  <c r="C57" i="31" s="1"/>
  <c r="J57" i="31" s="1"/>
  <c r="A57" i="31"/>
  <c r="H56" i="31"/>
  <c r="C56" i="31"/>
  <c r="J56" i="31" s="1"/>
  <c r="I53" i="31" l="1"/>
  <c r="K53" i="31" s="1"/>
  <c r="L52" i="31"/>
  <c r="F52" i="31" s="1"/>
  <c r="E52" i="31" s="1"/>
  <c r="I54" i="31"/>
  <c r="K54" i="31" s="1"/>
  <c r="I56" i="31"/>
  <c r="K56" i="31" s="1"/>
  <c r="D55" i="31"/>
  <c r="A58" i="31"/>
  <c r="G58" i="31"/>
  <c r="H57" i="31"/>
  <c r="I57" i="31"/>
  <c r="L53" i="31" l="1"/>
  <c r="F53" i="31" s="1"/>
  <c r="D53" i="31" s="1"/>
  <c r="L54" i="31"/>
  <c r="F54" i="31" s="1"/>
  <c r="D54" i="31" s="1"/>
  <c r="D52" i="31"/>
  <c r="E53" i="31"/>
  <c r="L57" i="31"/>
  <c r="F57" i="31" s="1"/>
  <c r="D57" i="31" s="1"/>
  <c r="K57" i="31"/>
  <c r="L56" i="31"/>
  <c r="F56" i="31" s="1"/>
  <c r="E56" i="31" s="1"/>
  <c r="H58" i="31"/>
  <c r="C58" i="31"/>
  <c r="J58" i="31" s="1"/>
  <c r="G59" i="31"/>
  <c r="A59" i="31"/>
  <c r="E54" i="31" l="1"/>
  <c r="I58" i="31"/>
  <c r="K58" i="31" s="1"/>
  <c r="E57" i="31"/>
  <c r="D56" i="31"/>
  <c r="H59" i="31"/>
  <c r="A60" i="31"/>
  <c r="G60" i="31"/>
  <c r="C59" i="31"/>
  <c r="J59" i="31" s="1"/>
  <c r="L58" i="31" l="1"/>
  <c r="F58" i="31" s="1"/>
  <c r="D58" i="31" s="1"/>
  <c r="I59" i="31"/>
  <c r="K59" i="31" s="1"/>
  <c r="G61" i="31"/>
  <c r="C61" i="31" s="1"/>
  <c r="J61" i="31" s="1"/>
  <c r="A61" i="31"/>
  <c r="H60" i="31"/>
  <c r="C60" i="31"/>
  <c r="J60" i="31" s="1"/>
  <c r="E58" i="31" l="1"/>
  <c r="L59" i="31"/>
  <c r="F59" i="31" s="1"/>
  <c r="E59" i="31" s="1"/>
  <c r="I60" i="31"/>
  <c r="K60" i="31" s="1"/>
  <c r="A62" i="31"/>
  <c r="G62" i="31"/>
  <c r="H61" i="31"/>
  <c r="I61" i="31"/>
  <c r="L60" i="31" l="1"/>
  <c r="F60" i="31" s="1"/>
  <c r="E60" i="31" s="1"/>
  <c r="D59" i="31"/>
  <c r="L61" i="31"/>
  <c r="F61" i="31" s="1"/>
  <c r="E61" i="31" s="1"/>
  <c r="K61" i="31"/>
  <c r="G63" i="31"/>
  <c r="C63" i="31" s="1"/>
  <c r="J63" i="31" s="1"/>
  <c r="A63" i="31"/>
  <c r="H62" i="31"/>
  <c r="C62" i="31"/>
  <c r="J62" i="31" s="1"/>
  <c r="I62" i="31" l="1"/>
  <c r="K62" i="31" s="1"/>
  <c r="D60" i="31"/>
  <c r="D61" i="31"/>
  <c r="A64" i="31"/>
  <c r="G64" i="31"/>
  <c r="H63" i="31"/>
  <c r="I63" i="31"/>
  <c r="L62" i="31" l="1"/>
  <c r="F62" i="31" s="1"/>
  <c r="E62" i="31" s="1"/>
  <c r="K63" i="31"/>
  <c r="L63" i="31"/>
  <c r="F63" i="31" s="1"/>
  <c r="D63" i="31" s="1"/>
  <c r="H64" i="31"/>
  <c r="G65" i="31"/>
  <c r="A65" i="31"/>
  <c r="C64" i="31"/>
  <c r="J64" i="31" s="1"/>
  <c r="D62" i="31" l="1"/>
  <c r="I64" i="31"/>
  <c r="K64" i="31" s="1"/>
  <c r="E63" i="31"/>
  <c r="A66" i="31"/>
  <c r="G66" i="31"/>
  <c r="H65" i="31"/>
  <c r="C65" i="31"/>
  <c r="J65" i="31" s="1"/>
  <c r="I65" i="31" l="1"/>
  <c r="K65" i="31" s="1"/>
  <c r="L64" i="31"/>
  <c r="F64" i="31" s="1"/>
  <c r="D64" i="31" s="1"/>
  <c r="H66" i="31"/>
  <c r="G67" i="31"/>
  <c r="A67" i="31"/>
  <c r="C66" i="31"/>
  <c r="J66" i="31" s="1"/>
  <c r="L65" i="31" l="1"/>
  <c r="F65" i="31" s="1"/>
  <c r="E65" i="31" s="1"/>
  <c r="I66" i="31"/>
  <c r="K66" i="31" s="1"/>
  <c r="E64" i="31"/>
  <c r="H67" i="31"/>
  <c r="C67" i="31"/>
  <c r="J67" i="31" s="1"/>
  <c r="A68" i="31"/>
  <c r="G68" i="31"/>
  <c r="C68" i="31" s="1"/>
  <c r="J68" i="31" s="1"/>
  <c r="D65" i="31" l="1"/>
  <c r="L66" i="31"/>
  <c r="F66" i="31" s="1"/>
  <c r="D66" i="31" s="1"/>
  <c r="I67" i="31"/>
  <c r="K67" i="31" s="1"/>
  <c r="I68" i="31"/>
  <c r="H68" i="31"/>
  <c r="G69" i="31"/>
  <c r="A69" i="31"/>
  <c r="E66" i="31" l="1"/>
  <c r="L67" i="31"/>
  <c r="F67" i="31" s="1"/>
  <c r="E67" i="31" s="1"/>
  <c r="K68" i="31"/>
  <c r="L68" i="31"/>
  <c r="F68" i="31" s="1"/>
  <c r="E68" i="31" s="1"/>
  <c r="H69" i="31"/>
  <c r="C69" i="31"/>
  <c r="J69" i="31" s="1"/>
  <c r="A70" i="31"/>
  <c r="G70" i="31"/>
  <c r="C70" i="31" s="1"/>
  <c r="J70" i="31" s="1"/>
  <c r="D67" i="31" l="1"/>
  <c r="I69" i="31"/>
  <c r="K69" i="31" s="1"/>
  <c r="D68" i="31"/>
  <c r="G71" i="31"/>
  <c r="C71" i="31" s="1"/>
  <c r="J71" i="31" s="1"/>
  <c r="A71" i="31"/>
  <c r="I70" i="31"/>
  <c r="H70" i="31"/>
  <c r="L69" i="31" l="1"/>
  <c r="F69" i="31" s="1"/>
  <c r="E69" i="31" s="1"/>
  <c r="K70" i="31"/>
  <c r="L70" i="31"/>
  <c r="F70" i="31" s="1"/>
  <c r="E70" i="31" s="1"/>
  <c r="A72" i="31"/>
  <c r="G72" i="31"/>
  <c r="H71" i="31"/>
  <c r="I71" i="31"/>
  <c r="D69" i="31" l="1"/>
  <c r="K71" i="31"/>
  <c r="D70" i="31"/>
  <c r="L71" i="31"/>
  <c r="F71" i="31" s="1"/>
  <c r="D71" i="31" s="1"/>
  <c r="G73" i="31"/>
  <c r="C73" i="31" s="1"/>
  <c r="J73" i="31" s="1"/>
  <c r="A73" i="31"/>
  <c r="H72" i="31"/>
  <c r="C72" i="31"/>
  <c r="J72" i="31" s="1"/>
  <c r="E71" i="31" l="1"/>
  <c r="I72" i="31"/>
  <c r="K72" i="31" s="1"/>
  <c r="A74" i="31"/>
  <c r="G74" i="31"/>
  <c r="C74" i="31" s="1"/>
  <c r="J74" i="31" s="1"/>
  <c r="H73" i="31"/>
  <c r="I73" i="31"/>
  <c r="L72" i="31" l="1"/>
  <c r="F72" i="31" s="1"/>
  <c r="E72" i="31" s="1"/>
  <c r="L73" i="31"/>
  <c r="F73" i="31" s="1"/>
  <c r="E73" i="31" s="1"/>
  <c r="K73" i="31"/>
  <c r="G75" i="31"/>
  <c r="C75" i="31" s="1"/>
  <c r="J75" i="31" s="1"/>
  <c r="A75" i="31"/>
  <c r="I74" i="31"/>
  <c r="H74" i="31"/>
  <c r="D72" i="31" l="1"/>
  <c r="D73" i="31"/>
  <c r="K74" i="31"/>
  <c r="L74" i="31"/>
  <c r="F74" i="31" s="1"/>
  <c r="D74" i="31" s="1"/>
  <c r="A76" i="31"/>
  <c r="G76" i="31"/>
  <c r="C76" i="31" s="1"/>
  <c r="J76" i="31" s="1"/>
  <c r="H75" i="31"/>
  <c r="I75" i="31"/>
  <c r="L75" i="31" l="1"/>
  <c r="F75" i="31" s="1"/>
  <c r="E75" i="31" s="1"/>
  <c r="E74" i="31"/>
  <c r="K75" i="31"/>
  <c r="G77" i="31"/>
  <c r="C77" i="31" s="1"/>
  <c r="J77" i="31" s="1"/>
  <c r="A77" i="31"/>
  <c r="I76" i="31"/>
  <c r="H76" i="31"/>
  <c r="D75" i="31" l="1"/>
  <c r="K76" i="31"/>
  <c r="L76" i="31"/>
  <c r="F76" i="31" s="1"/>
  <c r="E76" i="31" s="1"/>
  <c r="A78" i="31"/>
  <c r="G78" i="31"/>
  <c r="H77" i="31"/>
  <c r="I77" i="31"/>
  <c r="L77" i="31" l="1"/>
  <c r="F77" i="31" s="1"/>
  <c r="E77" i="31" s="1"/>
  <c r="K77" i="31"/>
  <c r="D76" i="31"/>
  <c r="H78" i="31"/>
  <c r="G79" i="31"/>
  <c r="B80" i="31"/>
  <c r="A79" i="31"/>
  <c r="C78" i="31"/>
  <c r="J78" i="31" s="1"/>
  <c r="D77" i="31" l="1"/>
  <c r="I78" i="31"/>
  <c r="K78" i="31" s="1"/>
  <c r="H79" i="31"/>
  <c r="A80" i="31"/>
  <c r="G80" i="31"/>
  <c r="B81" i="31"/>
  <c r="C79" i="31"/>
  <c r="J79" i="31" s="1"/>
  <c r="L78" i="31" l="1"/>
  <c r="F78" i="31" s="1"/>
  <c r="D78" i="31" s="1"/>
  <c r="I79" i="31"/>
  <c r="K79" i="31" s="1"/>
  <c r="G81" i="31"/>
  <c r="C81" i="31" s="1"/>
  <c r="J81" i="31" s="1"/>
  <c r="B82" i="31"/>
  <c r="A81" i="31"/>
  <c r="H80" i="31"/>
  <c r="C80" i="31"/>
  <c r="J80" i="31" s="1"/>
  <c r="E78" i="31" l="1"/>
  <c r="L79" i="31"/>
  <c r="F79" i="31" s="1"/>
  <c r="E79" i="31" s="1"/>
  <c r="I80" i="31"/>
  <c r="K80" i="31" s="1"/>
  <c r="A82" i="31"/>
  <c r="G82" i="31"/>
  <c r="B83" i="31"/>
  <c r="H81" i="31"/>
  <c r="I81" i="31"/>
  <c r="D79" i="31" l="1"/>
  <c r="L80" i="31"/>
  <c r="F80" i="31" s="1"/>
  <c r="D80" i="31" s="1"/>
  <c r="L81" i="31"/>
  <c r="F81" i="31" s="1"/>
  <c r="D81" i="31" s="1"/>
  <c r="K81" i="31"/>
  <c r="H82" i="31"/>
  <c r="C82" i="31"/>
  <c r="J82" i="31" s="1"/>
  <c r="G83" i="31"/>
  <c r="B84" i="31"/>
  <c r="A83" i="31"/>
  <c r="E80" i="31" l="1"/>
  <c r="E81" i="31"/>
  <c r="I82" i="31"/>
  <c r="K82" i="31" s="1"/>
  <c r="H83" i="31"/>
  <c r="C83" i="31"/>
  <c r="J83" i="31" s="1"/>
  <c r="A84" i="31"/>
  <c r="G84" i="31"/>
  <c r="C84" i="31" s="1"/>
  <c r="J84" i="31" s="1"/>
  <c r="B85" i="31"/>
  <c r="I83" i="31" l="1"/>
  <c r="K83" i="31" s="1"/>
  <c r="L82" i="31"/>
  <c r="F82" i="31" s="1"/>
  <c r="E82" i="31" s="1"/>
  <c r="L83" i="31"/>
  <c r="F83" i="31" s="1"/>
  <c r="G85" i="31"/>
  <c r="C85" i="31" s="1"/>
  <c r="J85" i="31" s="1"/>
  <c r="B86" i="31"/>
  <c r="A85" i="31"/>
  <c r="L84" i="31"/>
  <c r="F84" i="31" s="1"/>
  <c r="K84" i="31"/>
  <c r="I84" i="31"/>
  <c r="H84" i="31"/>
  <c r="D82" i="31" l="1"/>
  <c r="E84" i="31"/>
  <c r="D84" i="31"/>
  <c r="A86" i="31"/>
  <c r="G86" i="31"/>
  <c r="B87" i="31"/>
  <c r="H85" i="31"/>
  <c r="I85" i="31"/>
  <c r="D83" i="31"/>
  <c r="E83" i="31"/>
  <c r="K85" i="31" l="1"/>
  <c r="L85" i="31"/>
  <c r="F85" i="31" s="1"/>
  <c r="E85" i="31" s="1"/>
  <c r="H86" i="31"/>
  <c r="C86" i="31"/>
  <c r="J86" i="31" s="1"/>
  <c r="G87" i="31"/>
  <c r="B88" i="31"/>
  <c r="A87" i="31"/>
  <c r="D85" i="31" l="1"/>
  <c r="I86" i="31"/>
  <c r="K86" i="31" s="1"/>
  <c r="H87" i="31"/>
  <c r="C87" i="31"/>
  <c r="J87" i="31" s="1"/>
  <c r="A88" i="31"/>
  <c r="G88" i="31"/>
  <c r="C88" i="31" s="1"/>
  <c r="J88" i="31" s="1"/>
  <c r="B89" i="31"/>
  <c r="L86" i="31" l="1"/>
  <c r="F86" i="31" s="1"/>
  <c r="E86" i="31" s="1"/>
  <c r="I87" i="31"/>
  <c r="K87" i="31" s="1"/>
  <c r="G89" i="31"/>
  <c r="C89" i="31" s="1"/>
  <c r="J89" i="31" s="1"/>
  <c r="B90" i="31"/>
  <c r="A89" i="31"/>
  <c r="I88" i="31"/>
  <c r="H88" i="31"/>
  <c r="L87" i="31" l="1"/>
  <c r="F87" i="31" s="1"/>
  <c r="E87" i="31" s="1"/>
  <c r="D86" i="31"/>
  <c r="K88" i="31"/>
  <c r="L88" i="31"/>
  <c r="F88" i="31" s="1"/>
  <c r="D88" i="31" s="1"/>
  <c r="H89" i="31"/>
  <c r="I89" i="31"/>
  <c r="A90" i="31"/>
  <c r="G90" i="31"/>
  <c r="B91" i="31"/>
  <c r="D87" i="31" l="1"/>
  <c r="E88" i="31"/>
  <c r="L89" i="31"/>
  <c r="F89" i="31" s="1"/>
  <c r="D89" i="31" s="1"/>
  <c r="K89" i="31"/>
  <c r="G91" i="31"/>
  <c r="C91" i="31" s="1"/>
  <c r="J91" i="31" s="1"/>
  <c r="B92" i="31"/>
  <c r="A91" i="31"/>
  <c r="H90" i="31"/>
  <c r="C90" i="31"/>
  <c r="J90" i="31" s="1"/>
  <c r="E89" i="31" l="1"/>
  <c r="I90" i="31"/>
  <c r="L90" i="31" s="1"/>
  <c r="F90" i="31" s="1"/>
  <c r="D90" i="31" s="1"/>
  <c r="H91" i="31"/>
  <c r="I91" i="31"/>
  <c r="A92" i="31"/>
  <c r="G92" i="31"/>
  <c r="C92" i="31" s="1"/>
  <c r="J92" i="31" s="1"/>
  <c r="B93" i="31"/>
  <c r="K90" i="31" l="1"/>
  <c r="E90" i="31"/>
  <c r="L91" i="31"/>
  <c r="F91" i="31" s="1"/>
  <c r="E91" i="31" s="1"/>
  <c r="K91" i="31"/>
  <c r="G93" i="31"/>
  <c r="B94" i="31"/>
  <c r="A93" i="31"/>
  <c r="I92" i="31"/>
  <c r="H92" i="31"/>
  <c r="D91" i="31" l="1"/>
  <c r="L92" i="31"/>
  <c r="F92" i="31" s="1"/>
  <c r="E92" i="31" s="1"/>
  <c r="K92" i="31"/>
  <c r="H93" i="31"/>
  <c r="C93" i="31"/>
  <c r="J93" i="31" s="1"/>
  <c r="A94" i="31"/>
  <c r="G94" i="31"/>
  <c r="C94" i="31" s="1"/>
  <c r="J94" i="31" s="1"/>
  <c r="B95" i="31"/>
  <c r="D92" i="31" l="1"/>
  <c r="I93" i="31"/>
  <c r="K93" i="31" s="1"/>
  <c r="G95" i="31"/>
  <c r="C95" i="31" s="1"/>
  <c r="J95" i="31" s="1"/>
  <c r="B96" i="31"/>
  <c r="A95" i="31"/>
  <c r="I94" i="31"/>
  <c r="H94" i="31"/>
  <c r="L94" i="31" l="1"/>
  <c r="F94" i="31" s="1"/>
  <c r="D94" i="31" s="1"/>
  <c r="L93" i="31"/>
  <c r="F93" i="31" s="1"/>
  <c r="E93" i="31" s="1"/>
  <c r="K94" i="31"/>
  <c r="A96" i="31"/>
  <c r="G96" i="31"/>
  <c r="C96" i="31" s="1"/>
  <c r="J96" i="31" s="1"/>
  <c r="B97" i="31"/>
  <c r="H95" i="31"/>
  <c r="I95" i="31"/>
  <c r="E94" i="31" l="1"/>
  <c r="D93" i="31"/>
  <c r="L95" i="31"/>
  <c r="F95" i="31" s="1"/>
  <c r="E95" i="31" s="1"/>
  <c r="K95" i="31"/>
  <c r="G97" i="31"/>
  <c r="C97" i="31" s="1"/>
  <c r="J97" i="31" s="1"/>
  <c r="B98" i="31"/>
  <c r="A97" i="31"/>
  <c r="I96" i="31"/>
  <c r="H96" i="31"/>
  <c r="K96" i="31" l="1"/>
  <c r="D95" i="31"/>
  <c r="L96" i="31"/>
  <c r="F96" i="31" s="1"/>
  <c r="D96" i="31" s="1"/>
  <c r="A98" i="31"/>
  <c r="G98" i="31"/>
  <c r="B99" i="31"/>
  <c r="H97" i="31"/>
  <c r="I97" i="31"/>
  <c r="E96" i="31" l="1"/>
  <c r="K97" i="31"/>
  <c r="L97" i="31"/>
  <c r="F97" i="31" s="1"/>
  <c r="E97" i="31" s="1"/>
  <c r="H98" i="31"/>
  <c r="G99" i="31"/>
  <c r="B100" i="31"/>
  <c r="A99" i="31"/>
  <c r="C98" i="31"/>
  <c r="J98" i="31" s="1"/>
  <c r="D97" i="31" l="1"/>
  <c r="I98" i="31"/>
  <c r="K98" i="31" s="1"/>
  <c r="H99" i="31"/>
  <c r="A100" i="31"/>
  <c r="G100" i="31"/>
  <c r="C100" i="31" s="1"/>
  <c r="J100" i="31" s="1"/>
  <c r="B101" i="31"/>
  <c r="L98" i="31"/>
  <c r="F98" i="31" s="1"/>
  <c r="C99" i="31"/>
  <c r="J99" i="31" s="1"/>
  <c r="I99" i="31" l="1"/>
  <c r="K99" i="31" s="1"/>
  <c r="G101" i="31"/>
  <c r="C101" i="31" s="1"/>
  <c r="J101" i="31" s="1"/>
  <c r="B102" i="31"/>
  <c r="A101" i="31"/>
  <c r="I100" i="31"/>
  <c r="H100" i="31"/>
  <c r="D98" i="31"/>
  <c r="E98" i="31"/>
  <c r="L99" i="31" l="1"/>
  <c r="F99" i="31" s="1"/>
  <c r="K100" i="31"/>
  <c r="L100" i="31"/>
  <c r="F100" i="31" s="1"/>
  <c r="E100" i="31" s="1"/>
  <c r="D99" i="31"/>
  <c r="E99" i="31"/>
  <c r="A102" i="31"/>
  <c r="G102" i="31"/>
  <c r="B103" i="31"/>
  <c r="H101" i="31"/>
  <c r="I101" i="31"/>
  <c r="D100" i="31" l="1"/>
  <c r="L101" i="31"/>
  <c r="F101" i="31" s="1"/>
  <c r="E101" i="31" s="1"/>
  <c r="K101" i="31"/>
  <c r="H102" i="31"/>
  <c r="C102" i="31"/>
  <c r="J102" i="31" s="1"/>
  <c r="G103" i="31"/>
  <c r="C103" i="31" s="1"/>
  <c r="J103" i="31" s="1"/>
  <c r="B104" i="31"/>
  <c r="A103" i="31"/>
  <c r="D101" i="31" l="1"/>
  <c r="I102" i="31"/>
  <c r="K102" i="31" s="1"/>
  <c r="H103" i="31"/>
  <c r="I103" i="31"/>
  <c r="K103" i="31" s="1"/>
  <c r="A104" i="31"/>
  <c r="G104" i="31"/>
  <c r="C104" i="31" s="1"/>
  <c r="J104" i="31" s="1"/>
  <c r="L102" i="31" l="1"/>
  <c r="F102" i="31" s="1"/>
  <c r="L103" i="31"/>
  <c r="F103" i="31" s="1"/>
  <c r="E103" i="31" s="1"/>
  <c r="D102" i="31"/>
  <c r="E102" i="31"/>
  <c r="I104" i="31"/>
  <c r="H104" i="31"/>
  <c r="L104" i="31" s="1"/>
  <c r="F104" i="31" s="1"/>
  <c r="D103" i="31" l="1"/>
  <c r="K104" i="31"/>
  <c r="D104" i="31"/>
  <c r="E104" i="31"/>
  <c r="B49" i="33" l="1"/>
  <c r="B47" i="33"/>
  <c r="B57" i="33" s="1"/>
  <c r="B2" i="33"/>
  <c r="B3" i="33" s="1"/>
  <c r="B28" i="33" l="1"/>
  <c r="C22" i="36"/>
  <c r="B20" i="33" s="1"/>
  <c r="B50" i="33"/>
  <c r="B14" i="33" l="1"/>
  <c r="I8" i="18" l="1"/>
  <c r="O33" i="18"/>
  <c r="N33" i="18"/>
  <c r="C4" i="13" l="1"/>
  <c r="L19" i="32"/>
  <c r="C23" i="32"/>
  <c r="L21" i="32"/>
  <c r="I19" i="18"/>
  <c r="O16" i="18"/>
  <c r="O17" i="18" s="1"/>
  <c r="L14" i="18"/>
  <c r="I11" i="18"/>
  <c r="I9" i="18"/>
  <c r="I5" i="18"/>
  <c r="D4" i="1"/>
  <c r="D36" i="8"/>
  <c r="B1" i="15"/>
  <c r="D2" i="9"/>
  <c r="C1" i="30"/>
  <c r="C11" i="30" s="1"/>
  <c r="C34" i="30"/>
  <c r="C36" i="30" s="1"/>
  <c r="E19" i="32" l="1"/>
  <c r="C19" i="32"/>
  <c r="C10" i="30"/>
  <c r="C32" i="30"/>
  <c r="F20" i="32" l="1"/>
  <c r="H20" i="32" s="1"/>
  <c r="L12" i="32" s="1"/>
  <c r="N12" i="32" s="1"/>
  <c r="O12" i="32" s="1"/>
  <c r="C25" i="30"/>
  <c r="C27" i="30" s="1"/>
  <c r="C39" i="30"/>
  <c r="C42" i="30" s="1"/>
  <c r="C24" i="32"/>
  <c r="K14" i="32" l="1"/>
  <c r="C8" i="30"/>
  <c r="C29" i="30"/>
  <c r="C16" i="30" s="1"/>
  <c r="C17" i="30" s="1"/>
  <c r="C43" i="30"/>
  <c r="H21" i="32"/>
  <c r="E24" i="32"/>
  <c r="AA126" i="21" l="1"/>
  <c r="Z126" i="21"/>
  <c r="AA116" i="21"/>
  <c r="AA117" i="21"/>
  <c r="AA118" i="21"/>
  <c r="AA119" i="21"/>
  <c r="AA103" i="21"/>
  <c r="AA105" i="21"/>
  <c r="AA106" i="21"/>
  <c r="AA107" i="21"/>
  <c r="AA108" i="21"/>
  <c r="AA109" i="21"/>
  <c r="AA110" i="21"/>
  <c r="AA111" i="21"/>
  <c r="AA112" i="21"/>
  <c r="AA90" i="21"/>
  <c r="AA91" i="21"/>
  <c r="AA92" i="21"/>
  <c r="AA93" i="21"/>
  <c r="AA94" i="21"/>
  <c r="AA95" i="21"/>
  <c r="AA96" i="21"/>
  <c r="AA97" i="21"/>
  <c r="AA98" i="21"/>
  <c r="AA89" i="21"/>
  <c r="AA85" i="21"/>
  <c r="AA86" i="21"/>
  <c r="AA84" i="21"/>
  <c r="AA47" i="21"/>
  <c r="AA48" i="21"/>
  <c r="AA49" i="21"/>
  <c r="AA50" i="21"/>
  <c r="AA51" i="21"/>
  <c r="AA52" i="21"/>
  <c r="AA53" i="21"/>
  <c r="AA54" i="21"/>
  <c r="AA55" i="21"/>
  <c r="AA56" i="21"/>
  <c r="AA57" i="21"/>
  <c r="AA58" i="21"/>
  <c r="AA59" i="21"/>
  <c r="AA60" i="21"/>
  <c r="AA61" i="21"/>
  <c r="AA62" i="21"/>
  <c r="AA63" i="21"/>
  <c r="AA64" i="21"/>
  <c r="AA65" i="21"/>
  <c r="AA66" i="21"/>
  <c r="AA67" i="21"/>
  <c r="AA68" i="21"/>
  <c r="AA69" i="21"/>
  <c r="AA70" i="21"/>
  <c r="AA71" i="21"/>
  <c r="AA72" i="21"/>
  <c r="AA73" i="21"/>
  <c r="AA74" i="21"/>
  <c r="AA75" i="21"/>
  <c r="AA76" i="21"/>
  <c r="AA77" i="21"/>
  <c r="AA78" i="21"/>
  <c r="AA79" i="21"/>
  <c r="AA80" i="21"/>
  <c r="AA81" i="21"/>
  <c r="AA46" i="21"/>
  <c r="AA22" i="21"/>
  <c r="AA23" i="21"/>
  <c r="AA24" i="21"/>
  <c r="AA25" i="21"/>
  <c r="AA26" i="21"/>
  <c r="AA27" i="21"/>
  <c r="AA29" i="21"/>
  <c r="AA30" i="21"/>
  <c r="AA32" i="21"/>
  <c r="AA33" i="21"/>
  <c r="AA34" i="21"/>
  <c r="AA35" i="21"/>
  <c r="AA36" i="21"/>
  <c r="AA37" i="21"/>
  <c r="AA38" i="21"/>
  <c r="AA40" i="21"/>
  <c r="AA41" i="21"/>
  <c r="AA42" i="21"/>
  <c r="AA43" i="21"/>
  <c r="AA21" i="21"/>
  <c r="AA18" i="21"/>
  <c r="AA17" i="21"/>
  <c r="AA5" i="21"/>
  <c r="AA6" i="21"/>
  <c r="AA7" i="21"/>
  <c r="AA8" i="21"/>
  <c r="Z9" i="21"/>
  <c r="AA10" i="21"/>
  <c r="AA11" i="21"/>
  <c r="AA12" i="21"/>
  <c r="AD13" i="21"/>
  <c r="AD15" i="21"/>
  <c r="AD16" i="21"/>
  <c r="AD19" i="21"/>
  <c r="AD20" i="21"/>
  <c r="AD44" i="21"/>
  <c r="AD45" i="21"/>
  <c r="AD82" i="21"/>
  <c r="AD83" i="21"/>
  <c r="AD87" i="21"/>
  <c r="AD88" i="21"/>
  <c r="AD99" i="21"/>
  <c r="AD100" i="21"/>
  <c r="AD113" i="21"/>
  <c r="AD114" i="21"/>
  <c r="B24" i="1"/>
  <c r="C5" i="30"/>
  <c r="C7" i="30" s="1"/>
  <c r="C4" i="30" s="1"/>
  <c r="C8" i="13"/>
  <c r="E13" i="30" l="1"/>
  <c r="C12" i="30"/>
  <c r="H33" i="13"/>
  <c r="G16" i="30" l="1"/>
  <c r="E16" i="30"/>
  <c r="E6" i="27"/>
  <c r="K126" i="21" l="1"/>
  <c r="C11" i="13"/>
  <c r="B70" i="18" l="1"/>
  <c r="AE4" i="21" l="1"/>
  <c r="K14" i="21"/>
  <c r="AG82" i="21"/>
  <c r="AG83" i="21"/>
  <c r="AG84" i="21"/>
  <c r="AG85" i="21"/>
  <c r="AG86" i="21"/>
  <c r="AG87" i="21"/>
  <c r="AG8" i="21"/>
  <c r="AG9" i="21"/>
  <c r="AG11" i="21"/>
  <c r="AG12" i="21"/>
  <c r="AG13" i="21"/>
  <c r="AG14" i="21"/>
  <c r="AG15" i="21"/>
  <c r="AG16" i="21"/>
  <c r="AG17" i="21"/>
  <c r="AG18" i="21"/>
  <c r="AG19" i="21"/>
  <c r="AG20" i="21"/>
  <c r="AG21" i="21"/>
  <c r="AG23" i="21"/>
  <c r="AG24" i="21"/>
  <c r="AG25" i="21"/>
  <c r="AG26" i="21"/>
  <c r="AG27" i="21"/>
  <c r="AG28" i="21"/>
  <c r="AG29" i="21"/>
  <c r="AG30" i="21"/>
  <c r="AG31" i="21"/>
  <c r="AG32" i="21"/>
  <c r="AG33" i="21"/>
  <c r="AG36" i="21"/>
  <c r="AG37" i="21"/>
  <c r="AG38" i="21"/>
  <c r="AG39" i="21"/>
  <c r="AG40" i="21"/>
  <c r="AG41" i="21"/>
  <c r="AG42" i="21"/>
  <c r="AG44" i="21"/>
  <c r="AG45" i="21"/>
  <c r="AG48" i="21"/>
  <c r="AG49" i="21"/>
  <c r="AG50" i="21"/>
  <c r="AG51" i="21"/>
  <c r="AG52" i="21"/>
  <c r="AG53" i="21"/>
  <c r="AG54" i="21"/>
  <c r="AG55" i="21"/>
  <c r="AG57" i="21"/>
  <c r="AG58" i="21"/>
  <c r="AG59" i="21"/>
  <c r="AG60" i="21"/>
  <c r="AG61" i="21"/>
  <c r="AG62" i="21"/>
  <c r="AG64" i="21"/>
  <c r="AG67" i="21"/>
  <c r="AG69" i="21"/>
  <c r="AG70" i="21"/>
  <c r="AG73" i="21"/>
  <c r="AG76" i="21"/>
  <c r="AG77" i="21"/>
  <c r="AG78" i="21"/>
  <c r="AG79" i="21"/>
  <c r="AG80" i="21"/>
  <c r="AG81" i="21"/>
  <c r="D38" i="24" l="1"/>
  <c r="D1" i="24" l="1"/>
  <c r="D16" i="24" s="1"/>
  <c r="L33" i="18" l="1"/>
  <c r="M33" i="18"/>
  <c r="K33" i="18"/>
  <c r="J33" i="18"/>
  <c r="I33" i="18"/>
  <c r="C40" i="13" l="1"/>
  <c r="AE9" i="21" l="1"/>
  <c r="D12" i="8"/>
  <c r="AE126" i="21"/>
  <c r="X126" i="21"/>
  <c r="D11" i="8"/>
  <c r="D10" i="8"/>
  <c r="D5" i="9"/>
  <c r="X10" i="21"/>
  <c r="AE10" i="21"/>
  <c r="D4" i="27"/>
  <c r="D3" i="27"/>
  <c r="C38" i="27"/>
  <c r="B38" i="27"/>
  <c r="B37" i="27"/>
  <c r="C15" i="18"/>
  <c r="D21" i="18" s="1"/>
  <c r="D16" i="18"/>
  <c r="D17" i="18"/>
  <c r="B3" i="27"/>
  <c r="AD126" i="21" l="1"/>
  <c r="AF126" i="21" s="1"/>
  <c r="AB126" i="21"/>
  <c r="C1" i="13"/>
  <c r="C9" i="13"/>
  <c r="C37" i="27"/>
  <c r="B4" i="27"/>
  <c r="C3" i="27"/>
  <c r="C4" i="27" s="1"/>
  <c r="B40" i="27"/>
  <c r="B34" i="27"/>
  <c r="B6" i="24"/>
  <c r="B7" i="24" s="1"/>
  <c r="B24" i="24"/>
  <c r="B26" i="24"/>
  <c r="D20" i="18"/>
  <c r="AF15" i="21"/>
  <c r="AF16" i="21"/>
  <c r="AF19" i="21"/>
  <c r="AF20" i="21"/>
  <c r="AF82" i="21"/>
  <c r="B25" i="27"/>
  <c r="B24" i="27"/>
  <c r="B32" i="27"/>
  <c r="B9" i="27"/>
  <c r="C9" i="27"/>
  <c r="D19" i="27"/>
  <c r="C18" i="27"/>
  <c r="E17" i="27"/>
  <c r="D16" i="27"/>
  <c r="AE95" i="21"/>
  <c r="AE94" i="21"/>
  <c r="AE93" i="21"/>
  <c r="AE92" i="21"/>
  <c r="AE91" i="21"/>
  <c r="AE90" i="21"/>
  <c r="AE89" i="21"/>
  <c r="AE98" i="21"/>
  <c r="AE97" i="21"/>
  <c r="AE96" i="21"/>
  <c r="AE101" i="21"/>
  <c r="AE102" i="21"/>
  <c r="AE104" i="21"/>
  <c r="AE105" i="21"/>
  <c r="AE106" i="21"/>
  <c r="AE107" i="21"/>
  <c r="AE108" i="21"/>
  <c r="AE109" i="21"/>
  <c r="AE110" i="21"/>
  <c r="AE112" i="21"/>
  <c r="AE111" i="21"/>
  <c r="AE118" i="21"/>
  <c r="AE103" i="21"/>
  <c r="AE22" i="21"/>
  <c r="AE23" i="21"/>
  <c r="AE24" i="21"/>
  <c r="AE25" i="21"/>
  <c r="AE26" i="21"/>
  <c r="AE27" i="21"/>
  <c r="AE28" i="21"/>
  <c r="AE29" i="21"/>
  <c r="AE30" i="21"/>
  <c r="AE31" i="21"/>
  <c r="AE32" i="21"/>
  <c r="AE33" i="21"/>
  <c r="AE34" i="21"/>
  <c r="AE35" i="21"/>
  <c r="AE36" i="21"/>
  <c r="AE37" i="21"/>
  <c r="AE38" i="21"/>
  <c r="AE39" i="21"/>
  <c r="AE40" i="21"/>
  <c r="AE41" i="21"/>
  <c r="AE42" i="21"/>
  <c r="AE43" i="21"/>
  <c r="AE44" i="21"/>
  <c r="AE45" i="21"/>
  <c r="AE46" i="21"/>
  <c r="AE47" i="21"/>
  <c r="AE48" i="21"/>
  <c r="AE49" i="21"/>
  <c r="AE50" i="21"/>
  <c r="AE51" i="21"/>
  <c r="AE52" i="21"/>
  <c r="AE53" i="21"/>
  <c r="AE54" i="21"/>
  <c r="AE55" i="21"/>
  <c r="AE56" i="21"/>
  <c r="AE57" i="21"/>
  <c r="AE58" i="21"/>
  <c r="AE59" i="21"/>
  <c r="AE60" i="21"/>
  <c r="AE61" i="21"/>
  <c r="AE62" i="21"/>
  <c r="AE63" i="21"/>
  <c r="AE64" i="21"/>
  <c r="AE65" i="21"/>
  <c r="AE66" i="21"/>
  <c r="AE67" i="21"/>
  <c r="AE68" i="21"/>
  <c r="AE69" i="21"/>
  <c r="AE70" i="21"/>
  <c r="AE71" i="21"/>
  <c r="AE72" i="21"/>
  <c r="AE73" i="21"/>
  <c r="AE74" i="21"/>
  <c r="AE75" i="21"/>
  <c r="AE76" i="21"/>
  <c r="AE77" i="21"/>
  <c r="AE78" i="21"/>
  <c r="AE79" i="21"/>
  <c r="AE80" i="21"/>
  <c r="AE81" i="21"/>
  <c r="AE82" i="21"/>
  <c r="AE83" i="21"/>
  <c r="AF83" i="21" s="1"/>
  <c r="AE84" i="21"/>
  <c r="AE85" i="21"/>
  <c r="AE86" i="21"/>
  <c r="AE87" i="21"/>
  <c r="AE88" i="21"/>
  <c r="AE99" i="21"/>
  <c r="AE100" i="21"/>
  <c r="AE113" i="21"/>
  <c r="AE114" i="21"/>
  <c r="AE115" i="21"/>
  <c r="AE116" i="21"/>
  <c r="AE117" i="21"/>
  <c r="AE119" i="21"/>
  <c r="AE21" i="21"/>
  <c r="AE18" i="21"/>
  <c r="AE17" i="21"/>
  <c r="AE14" i="21"/>
  <c r="AE5" i="21"/>
  <c r="AE6" i="21"/>
  <c r="AE7" i="21"/>
  <c r="AE8" i="21"/>
  <c r="AE11" i="21"/>
  <c r="AE12" i="21"/>
  <c r="B44" i="24"/>
  <c r="B38" i="24" s="1"/>
  <c r="C38" i="24"/>
  <c r="B8" i="24"/>
  <c r="AF114" i="21" l="1"/>
  <c r="AF113" i="21"/>
  <c r="AF44" i="21"/>
  <c r="AF100" i="21"/>
  <c r="AF99" i="21"/>
  <c r="AF88" i="21"/>
  <c r="AF87" i="21"/>
  <c r="AF45" i="21"/>
  <c r="B19" i="24"/>
  <c r="C6" i="1"/>
  <c r="D44" i="27" s="1"/>
  <c r="F44" i="27" s="1"/>
  <c r="C114" i="21"/>
  <c r="C100" i="21"/>
  <c r="C88" i="21"/>
  <c r="C83" i="21"/>
  <c r="C45" i="21"/>
  <c r="C20" i="21"/>
  <c r="C16" i="21"/>
  <c r="C12" i="13" l="1"/>
  <c r="E2" i="18"/>
  <c r="C6" i="19"/>
  <c r="F9" i="21"/>
  <c r="B114" i="21"/>
  <c r="A114" i="21"/>
  <c r="B100" i="21"/>
  <c r="A100" i="21"/>
  <c r="B88" i="21"/>
  <c r="A88" i="21"/>
  <c r="B83" i="21"/>
  <c r="A83" i="21"/>
  <c r="B45" i="21"/>
  <c r="A45" i="21"/>
  <c r="A20" i="21"/>
  <c r="A16" i="21"/>
  <c r="F34" i="9"/>
  <c r="I126" i="21"/>
  <c r="X98" i="21"/>
  <c r="T98" i="21"/>
  <c r="K98" i="21"/>
  <c r="X97" i="21"/>
  <c r="T97" i="21"/>
  <c r="K97" i="21"/>
  <c r="X96" i="21"/>
  <c r="T96" i="21"/>
  <c r="K96" i="21"/>
  <c r="X119" i="21"/>
  <c r="T119" i="21"/>
  <c r="K119" i="21"/>
  <c r="X116" i="21"/>
  <c r="T116" i="21"/>
  <c r="K116" i="21"/>
  <c r="X92" i="21"/>
  <c r="T92" i="21"/>
  <c r="K92" i="21"/>
  <c r="X91" i="21"/>
  <c r="T91" i="21"/>
  <c r="K91" i="21"/>
  <c r="X90" i="21"/>
  <c r="T90" i="21"/>
  <c r="K90" i="21"/>
  <c r="X89" i="21"/>
  <c r="T89" i="21"/>
  <c r="K89" i="21"/>
  <c r="X35" i="21"/>
  <c r="T35" i="21"/>
  <c r="K35" i="21"/>
  <c r="X34" i="21"/>
  <c r="T34" i="21"/>
  <c r="K34" i="21"/>
  <c r="X33" i="21"/>
  <c r="T33" i="21"/>
  <c r="K33" i="21"/>
  <c r="X32" i="21"/>
  <c r="T32" i="21"/>
  <c r="K32" i="21"/>
  <c r="X26" i="21"/>
  <c r="T26" i="21"/>
  <c r="K26" i="21"/>
  <c r="X22" i="21"/>
  <c r="T22" i="21"/>
  <c r="K22" i="21"/>
  <c r="X112" i="21"/>
  <c r="T112" i="21"/>
  <c r="K112" i="21"/>
  <c r="X111" i="21"/>
  <c r="T111" i="21"/>
  <c r="K111" i="21"/>
  <c r="X110" i="21"/>
  <c r="T110" i="21"/>
  <c r="K110" i="21"/>
  <c r="X118" i="21"/>
  <c r="T118" i="21"/>
  <c r="K118" i="21"/>
  <c r="X107" i="21"/>
  <c r="T107" i="21"/>
  <c r="K107" i="21"/>
  <c r="X106" i="21"/>
  <c r="T106" i="21"/>
  <c r="K106" i="21"/>
  <c r="X84" i="21"/>
  <c r="T84" i="21"/>
  <c r="K84" i="21"/>
  <c r="X104" i="21"/>
  <c r="T104" i="21"/>
  <c r="L104" i="21"/>
  <c r="K104" i="21"/>
  <c r="X31" i="21"/>
  <c r="T31" i="21"/>
  <c r="L31" i="21"/>
  <c r="K31" i="21"/>
  <c r="X102" i="21"/>
  <c r="T102" i="21"/>
  <c r="L102" i="21"/>
  <c r="K102" i="21"/>
  <c r="X101" i="21"/>
  <c r="T101" i="21"/>
  <c r="L101" i="21"/>
  <c r="K101" i="21"/>
  <c r="X78" i="21"/>
  <c r="T78" i="21"/>
  <c r="K78" i="21"/>
  <c r="X77" i="21"/>
  <c r="T77" i="21"/>
  <c r="K77" i="21"/>
  <c r="X73" i="21"/>
  <c r="T73" i="21"/>
  <c r="K73" i="21"/>
  <c r="X95" i="21"/>
  <c r="T95" i="21"/>
  <c r="K95" i="21"/>
  <c r="X94" i="21"/>
  <c r="T94" i="21"/>
  <c r="K94" i="21"/>
  <c r="X70" i="21"/>
  <c r="T70" i="21"/>
  <c r="K70" i="21"/>
  <c r="X67" i="21"/>
  <c r="T67" i="21"/>
  <c r="K67" i="21"/>
  <c r="X103" i="21"/>
  <c r="T103" i="21"/>
  <c r="K103" i="21"/>
  <c r="X64" i="21"/>
  <c r="T64" i="21"/>
  <c r="K64" i="21"/>
  <c r="X93" i="21"/>
  <c r="T93" i="21"/>
  <c r="K93" i="21"/>
  <c r="X27" i="21"/>
  <c r="T27" i="21"/>
  <c r="K27" i="21"/>
  <c r="X57" i="21"/>
  <c r="T57" i="21"/>
  <c r="K57" i="21"/>
  <c r="X55" i="21"/>
  <c r="T55" i="21"/>
  <c r="K55" i="21"/>
  <c r="X54" i="21"/>
  <c r="T54" i="21"/>
  <c r="K54" i="21"/>
  <c r="X53" i="21"/>
  <c r="T53" i="21"/>
  <c r="K53" i="21"/>
  <c r="X23" i="21"/>
  <c r="T23" i="21"/>
  <c r="K23" i="21"/>
  <c r="X51" i="21"/>
  <c r="T51" i="21"/>
  <c r="K51" i="21"/>
  <c r="X50" i="21"/>
  <c r="T50" i="21"/>
  <c r="K50" i="21"/>
  <c r="X49" i="21"/>
  <c r="T49" i="21"/>
  <c r="K49" i="21"/>
  <c r="X48" i="21"/>
  <c r="T48" i="21"/>
  <c r="K48" i="21"/>
  <c r="X115" i="21"/>
  <c r="T115" i="21"/>
  <c r="L115" i="21"/>
  <c r="K115" i="21"/>
  <c r="X86" i="21"/>
  <c r="T86" i="21"/>
  <c r="K86" i="21"/>
  <c r="X81" i="21"/>
  <c r="T81" i="21"/>
  <c r="K81" i="21"/>
  <c r="X43" i="21"/>
  <c r="T43" i="21"/>
  <c r="K43" i="21"/>
  <c r="X80" i="21"/>
  <c r="T80" i="21"/>
  <c r="K80" i="21"/>
  <c r="X109" i="21"/>
  <c r="T109" i="21"/>
  <c r="K109" i="21"/>
  <c r="X85" i="21"/>
  <c r="T85" i="21"/>
  <c r="K85" i="21"/>
  <c r="X42" i="21"/>
  <c r="T42" i="21"/>
  <c r="K42" i="21"/>
  <c r="X18" i="21"/>
  <c r="T18" i="21"/>
  <c r="K18" i="21"/>
  <c r="X17" i="21"/>
  <c r="T17" i="21"/>
  <c r="K17" i="21"/>
  <c r="X79" i="21"/>
  <c r="T79" i="21"/>
  <c r="K79" i="21"/>
  <c r="X108" i="21"/>
  <c r="T108" i="21"/>
  <c r="K108" i="21"/>
  <c r="X41" i="21"/>
  <c r="T41" i="21"/>
  <c r="K41" i="21"/>
  <c r="X40" i="21"/>
  <c r="T40" i="21"/>
  <c r="K40" i="21"/>
  <c r="X117" i="21"/>
  <c r="T117" i="21"/>
  <c r="K117" i="21"/>
  <c r="X39" i="21"/>
  <c r="T39" i="21"/>
  <c r="L39" i="21"/>
  <c r="K39" i="21"/>
  <c r="X105" i="21"/>
  <c r="T105" i="21"/>
  <c r="K105" i="21"/>
  <c r="X38" i="21"/>
  <c r="T38" i="21"/>
  <c r="K38" i="21"/>
  <c r="X76" i="21"/>
  <c r="T76" i="21"/>
  <c r="K76" i="21"/>
  <c r="X75" i="21"/>
  <c r="T75" i="21"/>
  <c r="K75" i="21"/>
  <c r="X74" i="21"/>
  <c r="T74" i="21"/>
  <c r="K74" i="21"/>
  <c r="X37" i="21"/>
  <c r="T37" i="21"/>
  <c r="K37" i="21"/>
  <c r="X36" i="21"/>
  <c r="T36" i="21"/>
  <c r="K36" i="21"/>
  <c r="X72" i="21"/>
  <c r="T72" i="21"/>
  <c r="K72" i="21"/>
  <c r="X71" i="21"/>
  <c r="T71" i="21"/>
  <c r="K71" i="21"/>
  <c r="X69" i="21"/>
  <c r="T69" i="21"/>
  <c r="K69" i="21"/>
  <c r="X68" i="21"/>
  <c r="T68" i="21"/>
  <c r="X66" i="21"/>
  <c r="T66" i="21"/>
  <c r="K66" i="21"/>
  <c r="X65" i="21"/>
  <c r="T65" i="21"/>
  <c r="X63" i="21"/>
  <c r="T63" i="21"/>
  <c r="K63" i="21"/>
  <c r="X62" i="21"/>
  <c r="T62" i="21"/>
  <c r="K62" i="21"/>
  <c r="X30" i="21"/>
  <c r="T30" i="21"/>
  <c r="K30" i="21"/>
  <c r="X61" i="21"/>
  <c r="T61" i="21"/>
  <c r="K61" i="21"/>
  <c r="X60" i="21"/>
  <c r="T60" i="21"/>
  <c r="K60" i="21"/>
  <c r="X29" i="21"/>
  <c r="T29" i="21"/>
  <c r="K29" i="21"/>
  <c r="X28" i="21"/>
  <c r="T28" i="21"/>
  <c r="L28" i="21"/>
  <c r="C49" i="9" s="1"/>
  <c r="K28" i="21"/>
  <c r="X59" i="21"/>
  <c r="T59" i="21"/>
  <c r="K59" i="21"/>
  <c r="X58" i="21"/>
  <c r="T58" i="21"/>
  <c r="K58" i="21"/>
  <c r="X25" i="21"/>
  <c r="T25" i="21"/>
  <c r="K25" i="21"/>
  <c r="X24" i="21"/>
  <c r="T24" i="21"/>
  <c r="K24" i="21"/>
  <c r="X56" i="21"/>
  <c r="T56" i="21"/>
  <c r="K56" i="21"/>
  <c r="X52" i="21"/>
  <c r="T52" i="21"/>
  <c r="K52" i="21"/>
  <c r="X47" i="21"/>
  <c r="T47" i="21"/>
  <c r="K47" i="21"/>
  <c r="X46" i="21"/>
  <c r="T46" i="21"/>
  <c r="K46" i="21"/>
  <c r="X21" i="21"/>
  <c r="K21" i="21"/>
  <c r="X14" i="21"/>
  <c r="T14" i="21"/>
  <c r="X12" i="21"/>
  <c r="T12" i="21"/>
  <c r="K12" i="21"/>
  <c r="X11" i="21"/>
  <c r="T11" i="21"/>
  <c r="K11" i="21"/>
  <c r="X9" i="21"/>
  <c r="T9" i="21"/>
  <c r="X8" i="21"/>
  <c r="T8" i="21"/>
  <c r="K8" i="21"/>
  <c r="X7" i="21"/>
  <c r="T7" i="21"/>
  <c r="K7" i="21"/>
  <c r="X6" i="21"/>
  <c r="T6" i="21"/>
  <c r="K6" i="21"/>
  <c r="X5" i="21"/>
  <c r="T5" i="21"/>
  <c r="K5" i="21"/>
  <c r="X4" i="21"/>
  <c r="K4" i="21"/>
  <c r="Z4" i="21" s="1"/>
  <c r="F4" i="21"/>
  <c r="B57" i="15"/>
  <c r="D12" i="9"/>
  <c r="D32" i="8" s="1"/>
  <c r="E33" i="9"/>
  <c r="G33" i="9" s="1"/>
  <c r="E32" i="9"/>
  <c r="G32" i="9" s="1"/>
  <c r="D100" i="21" s="1"/>
  <c r="E31" i="9"/>
  <c r="G31" i="9" s="1"/>
  <c r="D88" i="21" s="1"/>
  <c r="E30" i="9"/>
  <c r="G30" i="9" s="1"/>
  <c r="D83" i="21" s="1"/>
  <c r="E29" i="9"/>
  <c r="G29" i="9" s="1"/>
  <c r="D45" i="21" s="1"/>
  <c r="E28" i="9"/>
  <c r="G28" i="9" s="1"/>
  <c r="E27" i="9"/>
  <c r="G27" i="9" s="1"/>
  <c r="D37" i="9" s="1"/>
  <c r="E26" i="9"/>
  <c r="G26" i="9" s="1"/>
  <c r="D20" i="21" s="1"/>
  <c r="D43" i="21" s="1"/>
  <c r="E25" i="9"/>
  <c r="G25" i="9" s="1"/>
  <c r="D16" i="21" s="1"/>
  <c r="E24" i="9"/>
  <c r="G24" i="9" s="1"/>
  <c r="E5" i="20"/>
  <c r="P5" i="20"/>
  <c r="O5" i="20"/>
  <c r="N5" i="20"/>
  <c r="M5" i="20"/>
  <c r="L5" i="20"/>
  <c r="K5" i="20"/>
  <c r="J5" i="20"/>
  <c r="I5" i="20"/>
  <c r="H5" i="20"/>
  <c r="G5" i="20"/>
  <c r="E15" i="20"/>
  <c r="F15" i="20"/>
  <c r="E14" i="20"/>
  <c r="F14" i="20"/>
  <c r="E11" i="20"/>
  <c r="F11" i="20"/>
  <c r="F10" i="20"/>
  <c r="F12" i="20"/>
  <c r="F13" i="20"/>
  <c r="F16" i="20"/>
  <c r="F17" i="20"/>
  <c r="F18" i="20"/>
  <c r="F19" i="20"/>
  <c r="F20" i="20"/>
  <c r="F21" i="20"/>
  <c r="F9" i="20"/>
  <c r="E10" i="20"/>
  <c r="E12" i="20"/>
  <c r="E13" i="20"/>
  <c r="E16" i="20"/>
  <c r="E17" i="20"/>
  <c r="E18" i="20"/>
  <c r="E19" i="20"/>
  <c r="E20" i="20"/>
  <c r="E21" i="20"/>
  <c r="E9" i="20"/>
  <c r="D21" i="9"/>
  <c r="A12" i="19"/>
  <c r="E34" i="18"/>
  <c r="E7" i="17"/>
  <c r="B7" i="17"/>
  <c r="C7" i="17"/>
  <c r="E4" i="17"/>
  <c r="E3" i="17"/>
  <c r="B40" i="15"/>
  <c r="D14" i="9"/>
  <c r="D13" i="9"/>
  <c r="E4" i="18" l="1"/>
  <c r="C13" i="18" s="1"/>
  <c r="D13" i="18" s="1"/>
  <c r="F4" i="18"/>
  <c r="E6" i="18"/>
  <c r="C13" i="13"/>
  <c r="B71" i="18"/>
  <c r="B72" i="18" s="1"/>
  <c r="B73" i="18" s="1"/>
  <c r="B74" i="18" s="1"/>
  <c r="E7" i="18"/>
  <c r="F42" i="18"/>
  <c r="C14" i="18"/>
  <c r="A13" i="19"/>
  <c r="D74" i="21"/>
  <c r="D49" i="21"/>
  <c r="D53" i="21"/>
  <c r="D51" i="21"/>
  <c r="D63" i="21"/>
  <c r="D66" i="21"/>
  <c r="D62" i="21"/>
  <c r="D80" i="21"/>
  <c r="D55" i="21"/>
  <c r="D79" i="21"/>
  <c r="D76" i="21"/>
  <c r="D61" i="21"/>
  <c r="D58" i="21"/>
  <c r="D78" i="21"/>
  <c r="D68" i="21"/>
  <c r="D72" i="21"/>
  <c r="D47" i="21"/>
  <c r="D57" i="21"/>
  <c r="D71" i="21"/>
  <c r="D50" i="21"/>
  <c r="D70" i="21"/>
  <c r="D60" i="21"/>
  <c r="D64" i="21"/>
  <c r="D65" i="21"/>
  <c r="D67" i="21"/>
  <c r="D46" i="21"/>
  <c r="D81" i="21"/>
  <c r="D54" i="21"/>
  <c r="D52" i="21"/>
  <c r="D56" i="21"/>
  <c r="D73" i="21"/>
  <c r="D77" i="21"/>
  <c r="D75" i="21"/>
  <c r="D48" i="21"/>
  <c r="D69" i="21"/>
  <c r="D59" i="21"/>
  <c r="D98" i="21"/>
  <c r="D93" i="21"/>
  <c r="D90" i="21"/>
  <c r="D91" i="21"/>
  <c r="D89" i="21"/>
  <c r="D97" i="21"/>
  <c r="D92" i="21"/>
  <c r="D96" i="21"/>
  <c r="D95" i="21"/>
  <c r="D94" i="21"/>
  <c r="D102" i="21"/>
  <c r="D106" i="21"/>
  <c r="D101" i="21"/>
  <c r="D108" i="21"/>
  <c r="D105" i="21"/>
  <c r="D112" i="21"/>
  <c r="D111" i="21"/>
  <c r="D110" i="21"/>
  <c r="D104" i="21"/>
  <c r="D109" i="21"/>
  <c r="D103" i="21"/>
  <c r="D107" i="21"/>
  <c r="D25" i="21"/>
  <c r="D30" i="21"/>
  <c r="D35" i="21"/>
  <c r="D32" i="21"/>
  <c r="D21" i="21"/>
  <c r="D28" i="21"/>
  <c r="D22" i="21"/>
  <c r="D40" i="21"/>
  <c r="D36" i="21"/>
  <c r="D38" i="21"/>
  <c r="D27" i="21"/>
  <c r="D41" i="21"/>
  <c r="D37" i="21"/>
  <c r="D42" i="21"/>
  <c r="D24" i="21"/>
  <c r="D26" i="21"/>
  <c r="D33" i="21"/>
  <c r="D29" i="21"/>
  <c r="D34" i="21"/>
  <c r="D39" i="21"/>
  <c r="D31" i="21"/>
  <c r="D23" i="21"/>
  <c r="D86" i="21"/>
  <c r="D85" i="21"/>
  <c r="D84" i="21"/>
  <c r="D18" i="21"/>
  <c r="D17" i="21"/>
  <c r="E34" i="9"/>
  <c r="G34" i="9" s="1"/>
  <c r="D114" i="21" s="1"/>
  <c r="D115" i="21" s="1"/>
  <c r="K65" i="21"/>
  <c r="D11" i="9"/>
  <c r="B23" i="15"/>
  <c r="D24" i="15"/>
  <c r="D23" i="15" s="1"/>
  <c r="C24" i="15"/>
  <c r="C23" i="15" s="1"/>
  <c r="B24" i="15"/>
  <c r="B7" i="33" l="1"/>
  <c r="D7" i="33"/>
  <c r="C7" i="33"/>
  <c r="C8" i="19"/>
  <c r="E44" i="18"/>
  <c r="A14" i="19"/>
  <c r="D116" i="21"/>
  <c r="D118" i="21"/>
  <c r="D117" i="21"/>
  <c r="D119" i="21"/>
  <c r="F81" i="8"/>
  <c r="E45" i="18" l="1"/>
  <c r="C7" i="19" s="1"/>
  <c r="D10" i="19" s="1"/>
  <c r="H10" i="19"/>
  <c r="K10" i="19" s="1"/>
  <c r="I10" i="19" s="1"/>
  <c r="D38" i="9"/>
  <c r="A15" i="19"/>
  <c r="E5" i="18"/>
  <c r="D33" i="8"/>
  <c r="G9" i="14"/>
  <c r="B6" i="14"/>
  <c r="D29" i="8"/>
  <c r="J11" i="19" l="1"/>
  <c r="B11" i="19"/>
  <c r="J12" i="19"/>
  <c r="F11" i="19"/>
  <c r="F10" i="19"/>
  <c r="A16" i="19"/>
  <c r="E11" i="19" l="1"/>
  <c r="H11" i="19" s="1"/>
  <c r="G11" i="19" s="1"/>
  <c r="E12" i="19"/>
  <c r="J13" i="19"/>
  <c r="B12" i="19"/>
  <c r="B28" i="1"/>
  <c r="A17" i="19"/>
  <c r="K11" i="19" l="1"/>
  <c r="I11" i="19" s="1"/>
  <c r="A18" i="19"/>
  <c r="A19" i="19" l="1"/>
  <c r="A20" i="19" l="1"/>
  <c r="G44" i="8"/>
  <c r="AM45" i="8" s="1"/>
  <c r="Q45" i="8"/>
  <c r="R46" i="8" s="1"/>
  <c r="S47" i="8" s="1"/>
  <c r="P45" i="8"/>
  <c r="Q46" i="8" s="1"/>
  <c r="R47" i="8" s="1"/>
  <c r="S48" i="8" s="1"/>
  <c r="G27" i="8"/>
  <c r="F16" i="8"/>
  <c r="E16" i="8"/>
  <c r="N39" i="8"/>
  <c r="A46" i="8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E25" i="8"/>
  <c r="A21" i="19" l="1"/>
  <c r="AO45" i="8"/>
  <c r="AJ45" i="8"/>
  <c r="AL45" i="8"/>
  <c r="AN45" i="8"/>
  <c r="AK45" i="8"/>
  <c r="A22" i="19" l="1"/>
  <c r="A23" i="19" l="1"/>
  <c r="A24" i="19" l="1"/>
  <c r="A25" i="19" l="1"/>
  <c r="A26" i="19" l="1"/>
  <c r="A27" i="19" l="1"/>
  <c r="A28" i="19" l="1"/>
  <c r="A29" i="19" l="1"/>
  <c r="A30" i="19" l="1"/>
  <c r="A31" i="19" l="1"/>
  <c r="A32" i="19" l="1"/>
  <c r="A33" i="19" l="1"/>
  <c r="A34" i="19" l="1"/>
  <c r="A35" i="19" l="1"/>
  <c r="A36" i="19" l="1"/>
  <c r="A37" i="19" l="1"/>
  <c r="A38" i="19" l="1"/>
  <c r="A39" i="19" l="1"/>
  <c r="A40" i="19" l="1"/>
  <c r="A41" i="19" l="1"/>
  <c r="A42" i="19" l="1"/>
  <c r="A43" i="19" l="1"/>
  <c r="A44" i="19" l="1"/>
  <c r="A45" i="19" l="1"/>
  <c r="A46" i="19" l="1"/>
  <c r="A47" i="19" l="1"/>
  <c r="A48" i="19" l="1"/>
  <c r="A49" i="19" l="1"/>
  <c r="A50" i="19" l="1"/>
  <c r="A51" i="19" l="1"/>
  <c r="A52" i="19" l="1"/>
  <c r="A53" i="19" l="1"/>
  <c r="A54" i="19" l="1"/>
  <c r="A55" i="19" l="1"/>
  <c r="A56" i="19" l="1"/>
  <c r="A57" i="19" l="1"/>
  <c r="A58" i="19" l="1"/>
  <c r="A59" i="19" l="1"/>
  <c r="A60" i="19" l="1"/>
  <c r="A61" i="19" l="1"/>
  <c r="A62" i="19" l="1"/>
  <c r="A63" i="19" l="1"/>
  <c r="A64" i="19" l="1"/>
  <c r="A65" i="19" l="1"/>
  <c r="A66" i="19" l="1"/>
  <c r="A67" i="19" l="1"/>
  <c r="A68" i="19" l="1"/>
  <c r="A69" i="19" l="1"/>
  <c r="A70" i="19" l="1"/>
  <c r="A71" i="19" l="1"/>
  <c r="A72" i="19" l="1"/>
  <c r="A73" i="19" l="1"/>
  <c r="A74" i="19" l="1"/>
  <c r="A75" i="19" l="1"/>
  <c r="A76" i="19" l="1"/>
  <c r="A77" i="19" l="1"/>
  <c r="A78" i="19" l="1"/>
  <c r="A79" i="19" l="1"/>
  <c r="A80" i="19" l="1"/>
  <c r="A81" i="19" l="1"/>
  <c r="A82" i="19" l="1"/>
  <c r="A83" i="19" l="1"/>
  <c r="A84" i="19" l="1"/>
  <c r="A85" i="19" l="1"/>
  <c r="A86" i="19" l="1"/>
  <c r="A87" i="19" l="1"/>
  <c r="A88" i="19" l="1"/>
  <c r="A89" i="19" l="1"/>
  <c r="A90" i="19" l="1"/>
  <c r="A91" i="19" l="1"/>
  <c r="A92" i="19" l="1"/>
  <c r="A93" i="19" l="1"/>
  <c r="A94" i="19" l="1"/>
  <c r="A95" i="19" l="1"/>
  <c r="A96" i="19" l="1"/>
  <c r="A97" i="19" l="1"/>
  <c r="A98" i="19" l="1"/>
  <c r="A99" i="19" l="1"/>
  <c r="A100" i="19" l="1"/>
  <c r="A101" i="19" l="1"/>
  <c r="A102" i="19" l="1"/>
  <c r="A103" i="19" l="1"/>
  <c r="A104" i="19" l="1"/>
  <c r="A105" i="19" l="1"/>
  <c r="A106" i="19" l="1"/>
  <c r="A107" i="19" l="1"/>
  <c r="A108" i="19" l="1"/>
  <c r="A109" i="19" l="1"/>
  <c r="A110" i="19" l="1"/>
  <c r="A111" i="19" l="1"/>
  <c r="X69" i="8"/>
  <c r="Y70" i="8" s="1"/>
  <c r="X47" i="8"/>
  <c r="Y48" i="8" s="1"/>
  <c r="X49" i="8"/>
  <c r="Y50" i="8" s="1"/>
  <c r="X73" i="8"/>
  <c r="Y74" i="8" s="1"/>
  <c r="X65" i="8"/>
  <c r="Y66" i="8" s="1"/>
  <c r="X63" i="8"/>
  <c r="Y64" i="8" s="1"/>
  <c r="X53" i="8"/>
  <c r="Y54" i="8" s="1"/>
  <c r="X71" i="8"/>
  <c r="Y72" i="8" s="1"/>
  <c r="X66" i="8"/>
  <c r="Y67" i="8" s="1"/>
  <c r="X77" i="8"/>
  <c r="Y78" i="8" s="1"/>
  <c r="X58" i="8"/>
  <c r="Y59" i="8" s="1"/>
  <c r="X54" i="8"/>
  <c r="Y55" i="8" s="1"/>
  <c r="X55" i="8"/>
  <c r="Y56" i="8" s="1"/>
  <c r="X76" i="8"/>
  <c r="Y77" i="8" s="1"/>
  <c r="X51" i="8"/>
  <c r="Y52" i="8" s="1"/>
  <c r="X61" i="8"/>
  <c r="Y62" i="8" s="1"/>
  <c r="X74" i="8"/>
  <c r="Y75" i="8" s="1"/>
  <c r="X50" i="8"/>
  <c r="Y51" i="8" s="1"/>
  <c r="X68" i="8"/>
  <c r="Y69" i="8" s="1"/>
  <c r="X57" i="8"/>
  <c r="Y58" i="8" s="1"/>
  <c r="X75" i="8"/>
  <c r="Y76" i="8" s="1"/>
  <c r="X64" i="8"/>
  <c r="Y65" i="8" s="1"/>
  <c r="X46" i="8"/>
  <c r="Y47" i="8" s="1"/>
  <c r="X59" i="8"/>
  <c r="Y60" i="8" s="1"/>
  <c r="X67" i="8"/>
  <c r="Y68" i="8" s="1"/>
  <c r="X56" i="8"/>
  <c r="Y57" i="8" s="1"/>
  <c r="X70" i="8"/>
  <c r="Y71" i="8" s="1"/>
  <c r="X60" i="8"/>
  <c r="Y61" i="8" s="1"/>
  <c r="X72" i="8"/>
  <c r="Y73" i="8" s="1"/>
  <c r="X45" i="8"/>
  <c r="X52" i="8"/>
  <c r="Y53" i="8" s="1"/>
  <c r="F20" i="8"/>
  <c r="I44" i="8"/>
  <c r="X44" i="8"/>
  <c r="X78" i="8"/>
  <c r="Y79" i="8" s="1"/>
  <c r="X48" i="8"/>
  <c r="Y49" i="8" s="1"/>
  <c r="X62" i="8"/>
  <c r="Y63" i="8" s="1"/>
  <c r="X80" i="8"/>
  <c r="X79" i="8"/>
  <c r="Y80" i="8" s="1"/>
  <c r="A112" i="19" l="1"/>
  <c r="Y46" i="8"/>
  <c r="C44" i="8"/>
  <c r="I45" i="8" s="1"/>
  <c r="Y45" i="8"/>
  <c r="AE45" i="8"/>
  <c r="AB45" i="8"/>
  <c r="AC45" i="8"/>
  <c r="AF45" i="8"/>
  <c r="AD45" i="8"/>
  <c r="AA45" i="8"/>
  <c r="Z45" i="8"/>
  <c r="A113" i="19" l="1"/>
  <c r="AC46" i="8"/>
  <c r="AD46" i="8"/>
  <c r="AB46" i="8"/>
  <c r="AF46" i="8"/>
  <c r="Z46" i="8"/>
  <c r="AA46" i="8"/>
  <c r="AE46" i="8"/>
  <c r="C45" i="8"/>
  <c r="I46" i="8" s="1"/>
  <c r="A114" i="19" l="1"/>
  <c r="AA47" i="8"/>
  <c r="AC47" i="8"/>
  <c r="C46" i="8"/>
  <c r="I47" i="8" s="1"/>
  <c r="Z48" i="8" s="1"/>
  <c r="Z47" i="8"/>
  <c r="AE47" i="8"/>
  <c r="AF47" i="8"/>
  <c r="AB47" i="8"/>
  <c r="AD47" i="8"/>
  <c r="A115" i="19" l="1"/>
  <c r="AC48" i="8"/>
  <c r="AD48" i="8"/>
  <c r="AF48" i="8"/>
  <c r="AA48" i="8"/>
  <c r="C47" i="8"/>
  <c r="I48" i="8" s="1"/>
  <c r="Z49" i="8" s="1"/>
  <c r="AE48" i="8"/>
  <c r="AB48" i="8"/>
  <c r="A116" i="19" l="1"/>
  <c r="AF49" i="8"/>
  <c r="AE49" i="8"/>
  <c r="AA49" i="8"/>
  <c r="AC49" i="8"/>
  <c r="AB49" i="8"/>
  <c r="C48" i="8"/>
  <c r="I49" i="8" s="1"/>
  <c r="AF50" i="8" s="1"/>
  <c r="AD49" i="8"/>
  <c r="A117" i="19" l="1"/>
  <c r="AE50" i="8"/>
  <c r="AC50" i="8"/>
  <c r="AD50" i="8"/>
  <c r="C49" i="8"/>
  <c r="I50" i="8" s="1"/>
  <c r="Z50" i="8"/>
  <c r="AA50" i="8"/>
  <c r="AB50" i="8"/>
  <c r="A118" i="19" l="1"/>
  <c r="AC51" i="8"/>
  <c r="AF51" i="8"/>
  <c r="AE51" i="8"/>
  <c r="AD51" i="8"/>
  <c r="Z51" i="8"/>
  <c r="C50" i="8"/>
  <c r="I51" i="8" s="1"/>
  <c r="Z52" i="8" s="1"/>
  <c r="AB51" i="8"/>
  <c r="AA51" i="8"/>
  <c r="A119" i="19" l="1"/>
  <c r="AB52" i="8"/>
  <c r="AC52" i="8"/>
  <c r="AE52" i="8"/>
  <c r="AA52" i="8"/>
  <c r="C51" i="8"/>
  <c r="I52" i="8" s="1"/>
  <c r="AF52" i="8"/>
  <c r="AD52" i="8"/>
  <c r="A120" i="19" l="1"/>
  <c r="AE53" i="8"/>
  <c r="AB53" i="8"/>
  <c r="AF53" i="8"/>
  <c r="AD53" i="8"/>
  <c r="Z53" i="8"/>
  <c r="C52" i="8"/>
  <c r="I53" i="8" s="1"/>
  <c r="Z54" i="8" s="1"/>
  <c r="AA53" i="8"/>
  <c r="AC53" i="8"/>
  <c r="A121" i="19" l="1"/>
  <c r="AD54" i="8"/>
  <c r="AB54" i="8"/>
  <c r="AF54" i="8"/>
  <c r="AE54" i="8"/>
  <c r="C53" i="8"/>
  <c r="I54" i="8" s="1"/>
  <c r="AA54" i="8"/>
  <c r="AC54" i="8"/>
  <c r="A122" i="19" l="1"/>
  <c r="Z55" i="8"/>
  <c r="AE55" i="8"/>
  <c r="AF55" i="8"/>
  <c r="AA55" i="8"/>
  <c r="AB55" i="8"/>
  <c r="C54" i="8"/>
  <c r="I55" i="8" s="1"/>
  <c r="Z56" i="8" s="1"/>
  <c r="AD55" i="8"/>
  <c r="AC55" i="8"/>
  <c r="A123" i="19" l="1"/>
  <c r="AC56" i="8"/>
  <c r="AE56" i="8"/>
  <c r="AF56" i="8"/>
  <c r="AD56" i="8"/>
  <c r="AB56" i="8"/>
  <c r="C55" i="8"/>
  <c r="I56" i="8" s="1"/>
  <c r="Z57" i="8" s="1"/>
  <c r="AA56" i="8"/>
  <c r="A124" i="19" l="1"/>
  <c r="AF57" i="8"/>
  <c r="AB57" i="8"/>
  <c r="AD57" i="8"/>
  <c r="C56" i="8"/>
  <c r="I57" i="8" s="1"/>
  <c r="AC57" i="8"/>
  <c r="AE57" i="8"/>
  <c r="AA57" i="8"/>
  <c r="A125" i="19" l="1"/>
  <c r="Z58" i="8"/>
  <c r="AA58" i="8"/>
  <c r="AE58" i="8"/>
  <c r="AC58" i="8"/>
  <c r="AF58" i="8"/>
  <c r="AB58" i="8"/>
  <c r="AD58" i="8"/>
  <c r="C57" i="8"/>
  <c r="I58" i="8" s="1"/>
  <c r="Z59" i="8" s="1"/>
  <c r="A126" i="19" l="1"/>
  <c r="AF59" i="8"/>
  <c r="AD59" i="8"/>
  <c r="AB59" i="8"/>
  <c r="AE59" i="8"/>
  <c r="AC59" i="8"/>
  <c r="AA59" i="8"/>
  <c r="C58" i="8"/>
  <c r="I59" i="8" s="1"/>
  <c r="A127" i="19" l="1"/>
  <c r="AB60" i="8"/>
  <c r="AF60" i="8"/>
  <c r="AC60" i="8"/>
  <c r="Z60" i="8"/>
  <c r="AD60" i="8"/>
  <c r="AE60" i="8"/>
  <c r="C59" i="8"/>
  <c r="I60" i="8" s="1"/>
  <c r="Z61" i="8" s="1"/>
  <c r="AA60" i="8"/>
  <c r="A128" i="19" l="1"/>
  <c r="AB61" i="8"/>
  <c r="AE61" i="8"/>
  <c r="C60" i="8"/>
  <c r="I61" i="8" s="1"/>
  <c r="Z62" i="8" s="1"/>
  <c r="AA61" i="8"/>
  <c r="AD61" i="8"/>
  <c r="AC61" i="8"/>
  <c r="AF61" i="8"/>
  <c r="A129" i="19" l="1"/>
  <c r="AE62" i="8"/>
  <c r="C61" i="8"/>
  <c r="I62" i="8" s="1"/>
  <c r="AB62" i="8"/>
  <c r="AF62" i="8"/>
  <c r="AA62" i="8"/>
  <c r="AD62" i="8"/>
  <c r="AC62" i="8"/>
  <c r="A130" i="19" l="1"/>
  <c r="Z63" i="8"/>
  <c r="AF63" i="8"/>
  <c r="AA63" i="8"/>
  <c r="AE63" i="8"/>
  <c r="AD63" i="8"/>
  <c r="AB63" i="8"/>
  <c r="AC63" i="8"/>
  <c r="C62" i="8"/>
  <c r="I63" i="8" s="1"/>
  <c r="Z64" i="8" s="1"/>
  <c r="A131" i="19" l="1"/>
  <c r="AF64" i="8"/>
  <c r="AC64" i="8"/>
  <c r="AB64" i="8"/>
  <c r="AA64" i="8"/>
  <c r="C63" i="8"/>
  <c r="I64" i="8" s="1"/>
  <c r="Z65" i="8" s="1"/>
  <c r="AE64" i="8"/>
  <c r="AD64" i="8"/>
  <c r="A132" i="19" l="1"/>
  <c r="AE65" i="8"/>
  <c r="AB65" i="8"/>
  <c r="AC65" i="8"/>
  <c r="AF65" i="8"/>
  <c r="AD65" i="8"/>
  <c r="C64" i="8"/>
  <c r="I65" i="8" s="1"/>
  <c r="AA65" i="8"/>
  <c r="A133" i="19" l="1"/>
  <c r="AE66" i="8"/>
  <c r="Z66" i="8"/>
  <c r="AF66" i="8"/>
  <c r="AA66" i="8"/>
  <c r="AD66" i="8"/>
  <c r="AB66" i="8"/>
  <c r="C65" i="8"/>
  <c r="I66" i="8" s="1"/>
  <c r="Z67" i="8" s="1"/>
  <c r="AC66" i="8"/>
  <c r="A134" i="19" l="1"/>
  <c r="AB67" i="8"/>
  <c r="AD67" i="8"/>
  <c r="AF67" i="8"/>
  <c r="AC67" i="8"/>
  <c r="AE67" i="8"/>
  <c r="C66" i="8"/>
  <c r="I67" i="8" s="1"/>
  <c r="AA67" i="8"/>
  <c r="A135" i="19" l="1"/>
  <c r="Z68" i="8"/>
  <c r="AA68" i="8"/>
  <c r="AC68" i="8"/>
  <c r="AE68" i="8"/>
  <c r="C67" i="8"/>
  <c r="I68" i="8" s="1"/>
  <c r="Z69" i="8" s="1"/>
  <c r="AB68" i="8"/>
  <c r="AD68" i="8"/>
  <c r="AF68" i="8"/>
  <c r="A136" i="19" l="1"/>
  <c r="AE69" i="8"/>
  <c r="AD69" i="8"/>
  <c r="AC69" i="8"/>
  <c r="AF69" i="8"/>
  <c r="AB69" i="8"/>
  <c r="AA69" i="8"/>
  <c r="C68" i="8"/>
  <c r="I69" i="8" s="1"/>
  <c r="AF70" i="8" s="1"/>
  <c r="A137" i="19" l="1"/>
  <c r="C69" i="8"/>
  <c r="I70" i="8" s="1"/>
  <c r="Z71" i="8" s="1"/>
  <c r="AA70" i="8"/>
  <c r="Z70" i="8"/>
  <c r="AD70" i="8"/>
  <c r="AC70" i="8"/>
  <c r="AB70" i="8"/>
  <c r="AE70" i="8"/>
  <c r="AF71" i="8" s="1"/>
  <c r="A138" i="19" l="1"/>
  <c r="AC71" i="8"/>
  <c r="AD71" i="8"/>
  <c r="AB71" i="8"/>
  <c r="AE71" i="8"/>
  <c r="AA71" i="8"/>
  <c r="C70" i="8"/>
  <c r="I71" i="8" s="1"/>
  <c r="A139" i="19" l="1"/>
  <c r="AF72" i="8"/>
  <c r="AE72" i="8"/>
  <c r="AC72" i="8"/>
  <c r="AB72" i="8"/>
  <c r="C71" i="8"/>
  <c r="I72" i="8" s="1"/>
  <c r="Z73" i="8" s="1"/>
  <c r="AA72" i="8"/>
  <c r="Z72" i="8"/>
  <c r="AD72" i="8"/>
  <c r="A140" i="19" l="1"/>
  <c r="AE73" i="8"/>
  <c r="AA73" i="8"/>
  <c r="C72" i="8"/>
  <c r="I73" i="8" s="1"/>
  <c r="AB73" i="8"/>
  <c r="AC73" i="8"/>
  <c r="AF73" i="8"/>
  <c r="AD73" i="8"/>
  <c r="A141" i="19" l="1"/>
  <c r="AD74" i="8"/>
  <c r="AE74" i="8"/>
  <c r="C73" i="8"/>
  <c r="I74" i="8" s="1"/>
  <c r="Z75" i="8" s="1"/>
  <c r="AA74" i="8"/>
  <c r="Z74" i="8"/>
  <c r="AC74" i="8"/>
  <c r="AB74" i="8"/>
  <c r="AF74" i="8"/>
  <c r="A142" i="19" l="1"/>
  <c r="AD75" i="8"/>
  <c r="AC75" i="8"/>
  <c r="AF75" i="8"/>
  <c r="AE75" i="8"/>
  <c r="AB75" i="8"/>
  <c r="AA75" i="8"/>
  <c r="C74" i="8"/>
  <c r="I75" i="8" s="1"/>
  <c r="A143" i="19" l="1"/>
  <c r="AF76" i="8"/>
  <c r="AD76" i="8"/>
  <c r="AC76" i="8"/>
  <c r="AB76" i="8"/>
  <c r="C75" i="8"/>
  <c r="I76" i="8" s="1"/>
  <c r="Z77" i="8" s="1"/>
  <c r="Z76" i="8"/>
  <c r="AA76" i="8"/>
  <c r="AE76" i="8"/>
  <c r="A144" i="19" l="1"/>
  <c r="AC77" i="8"/>
  <c r="AA77" i="8"/>
  <c r="C76" i="8"/>
  <c r="I77" i="8" s="1"/>
  <c r="AB77" i="8"/>
  <c r="AD77" i="8"/>
  <c r="AF77" i="8"/>
  <c r="AE77" i="8"/>
  <c r="A145" i="19" l="1"/>
  <c r="AD78" i="8"/>
  <c r="Z78" i="8"/>
  <c r="AC78" i="8"/>
  <c r="AA78" i="8"/>
  <c r="AB78" i="8"/>
  <c r="AE78" i="8"/>
  <c r="AF78" i="8"/>
  <c r="C77" i="8"/>
  <c r="I78" i="8" s="1"/>
  <c r="Z79" i="8" s="1"/>
  <c r="A146" i="19" l="1"/>
  <c r="AD79" i="8"/>
  <c r="AE79" i="8"/>
  <c r="AB79" i="8"/>
  <c r="C78" i="8"/>
  <c r="I79" i="8" s="1"/>
  <c r="Z80" i="8" s="1"/>
  <c r="AA79" i="8"/>
  <c r="AF79" i="8"/>
  <c r="AC79" i="8"/>
  <c r="A147" i="19" l="1"/>
  <c r="AF80" i="8"/>
  <c r="AE80" i="8"/>
  <c r="AD80" i="8"/>
  <c r="AA80" i="8"/>
  <c r="AB80" i="8"/>
  <c r="C79" i="8"/>
  <c r="I80" i="8" s="1"/>
  <c r="AC80" i="8"/>
  <c r="A148" i="19" l="1"/>
  <c r="C80" i="8"/>
  <c r="A149" i="19" l="1"/>
  <c r="A150" i="19" l="1"/>
  <c r="A151" i="19" l="1"/>
  <c r="A152" i="19" l="1"/>
  <c r="A153" i="19" l="1"/>
  <c r="A154" i="19" l="1"/>
  <c r="A155" i="19" l="1"/>
  <c r="A156" i="19" l="1"/>
  <c r="A157" i="19" l="1"/>
  <c r="A158" i="19" l="1"/>
  <c r="A159" i="19" l="1"/>
  <c r="A160" i="19" l="1"/>
  <c r="A161" i="19" l="1"/>
  <c r="A162" i="19" l="1"/>
  <c r="A163" i="19" s="1"/>
  <c r="A164" i="19" s="1"/>
  <c r="A165" i="19" s="1"/>
  <c r="A166" i="19" s="1"/>
  <c r="A167" i="19" s="1"/>
  <c r="A168" i="19" s="1"/>
  <c r="A169" i="19" s="1"/>
  <c r="A170" i="19" s="1"/>
  <c r="A171" i="19" s="1"/>
  <c r="A172" i="19" s="1"/>
  <c r="A173" i="19" s="1"/>
  <c r="A174" i="19" s="1"/>
  <c r="A175" i="19" s="1"/>
  <c r="A176" i="19" s="1"/>
  <c r="A177" i="19" s="1"/>
  <c r="A178" i="19" s="1"/>
  <c r="A179" i="19" s="1"/>
  <c r="A180" i="19" s="1"/>
  <c r="A181" i="19" s="1"/>
  <c r="A182" i="19" s="1"/>
  <c r="A183" i="19" s="1"/>
  <c r="A184" i="19" s="1"/>
  <c r="A185" i="19" s="1"/>
  <c r="A186" i="19" s="1"/>
  <c r="A187" i="19" s="1"/>
  <c r="A188" i="19" s="1"/>
  <c r="A189" i="19" s="1"/>
  <c r="A190" i="19" s="1"/>
  <c r="A191" i="19" s="1"/>
  <c r="A192" i="19" s="1"/>
  <c r="A193" i="19" s="1"/>
  <c r="A194" i="19" s="1"/>
  <c r="A195" i="19" s="1"/>
  <c r="A196" i="19" s="1"/>
  <c r="A197" i="19" s="1"/>
  <c r="A198" i="19" s="1"/>
  <c r="A199" i="19" s="1"/>
  <c r="A200" i="19" s="1"/>
  <c r="A201" i="19" s="1"/>
  <c r="A202" i="19" s="1"/>
  <c r="A203" i="19" s="1"/>
  <c r="A204" i="19" s="1"/>
  <c r="A205" i="19" s="1"/>
  <c r="A206" i="19" s="1"/>
  <c r="A207" i="19" s="1"/>
  <c r="A208" i="19" s="1"/>
  <c r="A209" i="19" s="1"/>
  <c r="A210" i="19" s="1"/>
  <c r="A211" i="19" s="1"/>
  <c r="A212" i="19" s="1"/>
  <c r="F18" i="8" l="1"/>
  <c r="B5" i="15"/>
  <c r="J127" i="21" l="1"/>
  <c r="D14" i="8" l="1"/>
  <c r="E20" i="8" s="1"/>
  <c r="G127" i="21" l="1"/>
  <c r="C28" i="18" l="1"/>
  <c r="D45" i="27" l="1"/>
  <c r="F45" i="27" s="1"/>
  <c r="F41" i="18"/>
  <c r="E49" i="18"/>
  <c r="E42" i="18"/>
  <c r="D11" i="18"/>
  <c r="B11" i="33" l="1"/>
  <c r="E61" i="18"/>
  <c r="E48" i="18"/>
  <c r="E43" i="18"/>
  <c r="E9" i="18"/>
  <c r="F11" i="18"/>
  <c r="E11" i="18"/>
  <c r="G7" i="19" s="1"/>
  <c r="E52" i="18"/>
  <c r="B13" i="33" l="1"/>
  <c r="B23" i="33"/>
  <c r="B10" i="33"/>
  <c r="D12" i="18"/>
  <c r="C30" i="18"/>
  <c r="G10" i="19"/>
  <c r="L10" i="19"/>
  <c r="E51" i="18"/>
  <c r="E50" i="18"/>
  <c r="E60" i="18"/>
  <c r="E62" i="18" s="1"/>
  <c r="E65" i="18" s="1"/>
  <c r="B52" i="33" l="1"/>
  <c r="C34" i="33" s="1"/>
  <c r="B12" i="33"/>
  <c r="B24" i="33" s="1"/>
  <c r="B27" i="33"/>
  <c r="E66" i="18"/>
  <c r="D15" i="1"/>
  <c r="E52" i="33" l="1"/>
  <c r="H12" i="19"/>
  <c r="K12" i="19" s="1"/>
  <c r="I12" i="19" s="1"/>
  <c r="F12" i="19" l="1"/>
  <c r="K7" i="19"/>
  <c r="F7" i="19"/>
  <c r="E13" i="19" l="1"/>
  <c r="H13" i="19" s="1"/>
  <c r="K13" i="19" s="1"/>
  <c r="I13" i="19" s="1"/>
  <c r="J14" i="19"/>
  <c r="B13" i="19"/>
  <c r="F13" i="19"/>
  <c r="L11" i="19"/>
  <c r="M11" i="19"/>
  <c r="J15" i="19" l="1"/>
  <c r="E14" i="19"/>
  <c r="H14" i="19" s="1"/>
  <c r="K14" i="19" s="1"/>
  <c r="I14" i="19" s="1"/>
  <c r="B14" i="19"/>
  <c r="P11" i="19"/>
  <c r="S11" i="19"/>
  <c r="F14" i="19"/>
  <c r="M12" i="19"/>
  <c r="L12" i="19"/>
  <c r="G12" i="19"/>
  <c r="E15" i="19" l="1"/>
  <c r="H15" i="19" s="1"/>
  <c r="K15" i="19" s="1"/>
  <c r="I15" i="19" s="1"/>
  <c r="J16" i="19"/>
  <c r="B15" i="19"/>
  <c r="P12" i="19"/>
  <c r="F15" i="19"/>
  <c r="L13" i="19"/>
  <c r="M13" i="19"/>
  <c r="G13" i="19"/>
  <c r="E16" i="19" l="1"/>
  <c r="H16" i="19" s="1"/>
  <c r="K16" i="19" s="1"/>
  <c r="I16" i="19" s="1"/>
  <c r="J17" i="19"/>
  <c r="B16" i="19"/>
  <c r="P13" i="19"/>
  <c r="F16" i="19"/>
  <c r="G14" i="19"/>
  <c r="L14" i="19"/>
  <c r="M14" i="19"/>
  <c r="E17" i="19" l="1"/>
  <c r="H17" i="19" s="1"/>
  <c r="K17" i="19" s="1"/>
  <c r="I17" i="19" s="1"/>
  <c r="J18" i="19"/>
  <c r="B17" i="19"/>
  <c r="P14" i="19"/>
  <c r="F17" i="19"/>
  <c r="G15" i="19"/>
  <c r="L15" i="19"/>
  <c r="M15" i="19"/>
  <c r="P15" i="19" l="1"/>
  <c r="E18" i="19"/>
  <c r="H18" i="19" s="1"/>
  <c r="K18" i="19" s="1"/>
  <c r="I18" i="19" s="1"/>
  <c r="J19" i="19"/>
  <c r="B18" i="19"/>
  <c r="F18" i="19"/>
  <c r="G16" i="19"/>
  <c r="M16" i="19"/>
  <c r="L16" i="19"/>
  <c r="E19" i="19" l="1"/>
  <c r="H19" i="19" s="1"/>
  <c r="K19" i="19" s="1"/>
  <c r="I19" i="19" s="1"/>
  <c r="J20" i="19"/>
  <c r="B19" i="19"/>
  <c r="P16" i="19"/>
  <c r="F19" i="19"/>
  <c r="L17" i="19"/>
  <c r="M17" i="19"/>
  <c r="G17" i="19"/>
  <c r="E20" i="19" l="1"/>
  <c r="H20" i="19" s="1"/>
  <c r="K20" i="19" s="1"/>
  <c r="I20" i="19" s="1"/>
  <c r="J21" i="19"/>
  <c r="B20" i="19"/>
  <c r="P17" i="19"/>
  <c r="F20" i="19"/>
  <c r="G18" i="19"/>
  <c r="L18" i="19"/>
  <c r="M18" i="19"/>
  <c r="P18" i="19" l="1"/>
  <c r="J22" i="19"/>
  <c r="E21" i="19"/>
  <c r="H21" i="19" s="1"/>
  <c r="K21" i="19" s="1"/>
  <c r="I21" i="19" s="1"/>
  <c r="B21" i="19"/>
  <c r="F21" i="19"/>
  <c r="G19" i="19"/>
  <c r="L19" i="19"/>
  <c r="M19" i="19"/>
  <c r="J23" i="19" l="1"/>
  <c r="E22" i="19"/>
  <c r="H22" i="19" s="1"/>
  <c r="K22" i="19" s="1"/>
  <c r="I22" i="19" s="1"/>
  <c r="B22" i="19"/>
  <c r="P19" i="19"/>
  <c r="F22" i="19"/>
  <c r="L20" i="19"/>
  <c r="M20" i="19"/>
  <c r="G20" i="19"/>
  <c r="P20" i="19" l="1"/>
  <c r="E23" i="19"/>
  <c r="H23" i="19" s="1"/>
  <c r="K23" i="19" s="1"/>
  <c r="I23" i="19" s="1"/>
  <c r="J24" i="19"/>
  <c r="B23" i="19"/>
  <c r="F23" i="19"/>
  <c r="G21" i="19"/>
  <c r="L21" i="19"/>
  <c r="M21" i="19"/>
  <c r="P21" i="19" l="1"/>
  <c r="E24" i="19"/>
  <c r="H24" i="19" s="1"/>
  <c r="K24" i="19" s="1"/>
  <c r="I24" i="19" s="1"/>
  <c r="B24" i="19"/>
  <c r="J25" i="19"/>
  <c r="F24" i="19"/>
  <c r="L22" i="19"/>
  <c r="G22" i="19"/>
  <c r="M22" i="19"/>
  <c r="P22" i="19" l="1"/>
  <c r="E25" i="19"/>
  <c r="H25" i="19" s="1"/>
  <c r="K25" i="19" s="1"/>
  <c r="I25" i="19" s="1"/>
  <c r="B25" i="19"/>
  <c r="J26" i="19"/>
  <c r="F25" i="19"/>
  <c r="M23" i="19"/>
  <c r="G23" i="19"/>
  <c r="L23" i="19"/>
  <c r="P23" i="19" l="1"/>
  <c r="E26" i="19"/>
  <c r="H26" i="19" s="1"/>
  <c r="K26" i="19" s="1"/>
  <c r="I26" i="19" s="1"/>
  <c r="B26" i="19"/>
  <c r="J27" i="19"/>
  <c r="F26" i="19"/>
  <c r="L24" i="19"/>
  <c r="M24" i="19"/>
  <c r="G24" i="19"/>
  <c r="P24" i="19" l="1"/>
  <c r="J28" i="19"/>
  <c r="E27" i="19"/>
  <c r="H27" i="19" s="1"/>
  <c r="K27" i="19" s="1"/>
  <c r="I27" i="19" s="1"/>
  <c r="B27" i="19"/>
  <c r="F27" i="19"/>
  <c r="G25" i="19"/>
  <c r="L25" i="19"/>
  <c r="M25" i="19"/>
  <c r="P25" i="19" l="1"/>
  <c r="J29" i="19"/>
  <c r="B28" i="19"/>
  <c r="E28" i="19"/>
  <c r="H28" i="19" s="1"/>
  <c r="K28" i="19" s="1"/>
  <c r="I28" i="19" s="1"/>
  <c r="F28" i="19"/>
  <c r="M26" i="19"/>
  <c r="G26" i="19"/>
  <c r="L26" i="19"/>
  <c r="P26" i="19" l="1"/>
  <c r="B29" i="19"/>
  <c r="J30" i="19"/>
  <c r="E29" i="19"/>
  <c r="H29" i="19" s="1"/>
  <c r="K29" i="19" s="1"/>
  <c r="I29" i="19" s="1"/>
  <c r="F29" i="19"/>
  <c r="G27" i="19"/>
  <c r="L27" i="19"/>
  <c r="M27" i="19"/>
  <c r="P27" i="19" l="1"/>
  <c r="B30" i="19"/>
  <c r="J31" i="19"/>
  <c r="E30" i="19"/>
  <c r="H30" i="19" s="1"/>
  <c r="K30" i="19" s="1"/>
  <c r="I30" i="19" s="1"/>
  <c r="F30" i="19"/>
  <c r="L28" i="19"/>
  <c r="M28" i="19"/>
  <c r="G28" i="19"/>
  <c r="P28" i="19" l="1"/>
  <c r="B31" i="19"/>
  <c r="E31" i="19"/>
  <c r="H31" i="19" s="1"/>
  <c r="K31" i="19" s="1"/>
  <c r="I31" i="19" s="1"/>
  <c r="J32" i="19"/>
  <c r="F31" i="19"/>
  <c r="G29" i="19"/>
  <c r="L29" i="19"/>
  <c r="M29" i="19"/>
  <c r="P29" i="19" l="1"/>
  <c r="J33" i="19"/>
  <c r="B32" i="19"/>
  <c r="E32" i="19"/>
  <c r="H32" i="19" s="1"/>
  <c r="K32" i="19" s="1"/>
  <c r="I32" i="19" s="1"/>
  <c r="F32" i="19"/>
  <c r="L30" i="19"/>
  <c r="G30" i="19"/>
  <c r="M30" i="19"/>
  <c r="P30" i="19" l="1"/>
  <c r="E33" i="19"/>
  <c r="H33" i="19" s="1"/>
  <c r="K33" i="19" s="1"/>
  <c r="I33" i="19" s="1"/>
  <c r="J34" i="19"/>
  <c r="B33" i="19"/>
  <c r="F33" i="19"/>
  <c r="M31" i="19"/>
  <c r="L31" i="19"/>
  <c r="G31" i="19"/>
  <c r="P31" i="19" l="1"/>
  <c r="J35" i="19"/>
  <c r="E34" i="19"/>
  <c r="H34" i="19" s="1"/>
  <c r="K34" i="19" s="1"/>
  <c r="I34" i="19" s="1"/>
  <c r="B34" i="19"/>
  <c r="F34" i="19"/>
  <c r="M32" i="19"/>
  <c r="L32" i="19"/>
  <c r="G32" i="19"/>
  <c r="P32" i="19" l="1"/>
  <c r="J36" i="19"/>
  <c r="B35" i="19"/>
  <c r="E35" i="19"/>
  <c r="H35" i="19" s="1"/>
  <c r="K35" i="19" s="1"/>
  <c r="I35" i="19" s="1"/>
  <c r="F35" i="19"/>
  <c r="G33" i="19"/>
  <c r="L33" i="19"/>
  <c r="M33" i="19"/>
  <c r="P33" i="19" l="1"/>
  <c r="B36" i="19"/>
  <c r="J37" i="19"/>
  <c r="E36" i="19"/>
  <c r="H36" i="19" s="1"/>
  <c r="K36" i="19" s="1"/>
  <c r="I36" i="19" s="1"/>
  <c r="F36" i="19"/>
  <c r="G34" i="19"/>
  <c r="M34" i="19"/>
  <c r="L34" i="19"/>
  <c r="P34" i="19" l="1"/>
  <c r="B37" i="19"/>
  <c r="J38" i="19"/>
  <c r="E37" i="19"/>
  <c r="H37" i="19" s="1"/>
  <c r="K37" i="19" s="1"/>
  <c r="I37" i="19" s="1"/>
  <c r="J45" i="19"/>
  <c r="F37" i="19"/>
  <c r="G35" i="19"/>
  <c r="M35" i="19"/>
  <c r="L35" i="19"/>
  <c r="P35" i="19" l="1"/>
  <c r="B38" i="19"/>
  <c r="E38" i="19"/>
  <c r="H38" i="19" s="1"/>
  <c r="K38" i="19" s="1"/>
  <c r="I38" i="19" s="1"/>
  <c r="J39" i="19"/>
  <c r="F38" i="19"/>
  <c r="M36" i="19"/>
  <c r="L36" i="19"/>
  <c r="G36" i="19"/>
  <c r="P36" i="19" l="1"/>
  <c r="B39" i="19"/>
  <c r="E39" i="19"/>
  <c r="H39" i="19" s="1"/>
  <c r="K39" i="19" s="1"/>
  <c r="I39" i="19" s="1"/>
  <c r="J40" i="19"/>
  <c r="F39" i="19"/>
  <c r="L37" i="19"/>
  <c r="G37" i="19"/>
  <c r="M37" i="19"/>
  <c r="P37" i="19" l="1"/>
  <c r="J41" i="19"/>
  <c r="B40" i="19"/>
  <c r="E40" i="19"/>
  <c r="H40" i="19" s="1"/>
  <c r="F40" i="19"/>
  <c r="G38" i="19"/>
  <c r="M38" i="19"/>
  <c r="L38" i="19"/>
  <c r="P38" i="19" l="1"/>
  <c r="K40" i="19"/>
  <c r="I40" i="19" s="1"/>
  <c r="E41" i="19"/>
  <c r="J42" i="19"/>
  <c r="B41" i="19"/>
  <c r="H41" i="19"/>
  <c r="K41" i="19" s="1"/>
  <c r="I41" i="19" s="1"/>
  <c r="F41" i="19"/>
  <c r="M39" i="19"/>
  <c r="L39" i="19"/>
  <c r="G39" i="19"/>
  <c r="P39" i="19" l="1"/>
  <c r="J43" i="19"/>
  <c r="E42" i="19"/>
  <c r="H42" i="19" s="1"/>
  <c r="K42" i="19" s="1"/>
  <c r="I42" i="19" s="1"/>
  <c r="B42" i="19"/>
  <c r="F42" i="19"/>
  <c r="L40" i="19"/>
  <c r="G40" i="19"/>
  <c r="M40" i="19"/>
  <c r="P40" i="19" l="1"/>
  <c r="E43" i="19"/>
  <c r="B43" i="19"/>
  <c r="J44" i="19"/>
  <c r="H43" i="19"/>
  <c r="K43" i="19" s="1"/>
  <c r="I43" i="19" s="1"/>
  <c r="F43" i="19"/>
  <c r="G41" i="19"/>
  <c r="L41" i="19"/>
  <c r="M41" i="19"/>
  <c r="P41" i="19" l="1"/>
  <c r="E44" i="19"/>
  <c r="H44" i="19" s="1"/>
  <c r="K44" i="19" s="1"/>
  <c r="I44" i="19" s="1"/>
  <c r="B44" i="19"/>
  <c r="F44" i="19"/>
  <c r="M42" i="19"/>
  <c r="L42" i="19"/>
  <c r="G42" i="19"/>
  <c r="J46" i="19" l="1"/>
  <c r="P42" i="19"/>
  <c r="B45" i="19"/>
  <c r="E45" i="19"/>
  <c r="H45" i="19" s="1"/>
  <c r="L43" i="19"/>
  <c r="G43" i="19"/>
  <c r="M43" i="19"/>
  <c r="R43" i="19" s="1"/>
  <c r="F45" i="19"/>
  <c r="K45" i="19" l="1"/>
  <c r="I45" i="19" s="1"/>
  <c r="L45" i="19"/>
  <c r="M45" i="19"/>
  <c r="R45" i="19" s="1"/>
  <c r="E46" i="19"/>
  <c r="H46" i="19" s="1"/>
  <c r="J47" i="19"/>
  <c r="F46" i="19"/>
  <c r="P43" i="19"/>
  <c r="B46" i="19"/>
  <c r="G44" i="19"/>
  <c r="M44" i="19"/>
  <c r="R44" i="19" s="1"/>
  <c r="L44" i="19"/>
  <c r="G46" i="19" l="1"/>
  <c r="J48" i="19"/>
  <c r="E47" i="19"/>
  <c r="H47" i="19" s="1"/>
  <c r="F47" i="19"/>
  <c r="I46" i="19"/>
  <c r="L46" i="19"/>
  <c r="M46" i="19"/>
  <c r="R46" i="19" s="1"/>
  <c r="S45" i="19"/>
  <c r="N45" i="19"/>
  <c r="Q45" i="19"/>
  <c r="O45" i="19"/>
  <c r="P45" i="19"/>
  <c r="P44" i="19"/>
  <c r="B47" i="19"/>
  <c r="G45" i="19"/>
  <c r="N46" i="19" l="1"/>
  <c r="O46" i="19"/>
  <c r="P46" i="19"/>
  <c r="S46" i="19"/>
  <c r="Q46" i="19"/>
  <c r="L47" i="19"/>
  <c r="M47" i="19"/>
  <c r="R47" i="19" s="1"/>
  <c r="K47" i="19"/>
  <c r="I47" i="19" s="1"/>
  <c r="G47" i="19"/>
  <c r="J49" i="19"/>
  <c r="F48" i="19"/>
  <c r="E48" i="19"/>
  <c r="H48" i="19" s="1"/>
  <c r="B48" i="19"/>
  <c r="J50" i="19" l="1"/>
  <c r="E49" i="19"/>
  <c r="H49" i="19" s="1"/>
  <c r="F49" i="19"/>
  <c r="S47" i="19"/>
  <c r="N47" i="19"/>
  <c r="O47" i="19"/>
  <c r="P47" i="19"/>
  <c r="Q47" i="19"/>
  <c r="K48" i="19"/>
  <c r="I48" i="19" s="1"/>
  <c r="L48" i="19"/>
  <c r="M48" i="19"/>
  <c r="R48" i="19" s="1"/>
  <c r="G48" i="19"/>
  <c r="B49" i="19"/>
  <c r="K49" i="19" l="1"/>
  <c r="I49" i="19" s="1"/>
  <c r="L49" i="19"/>
  <c r="M49" i="19"/>
  <c r="R49" i="19" s="1"/>
  <c r="G49" i="19"/>
  <c r="P48" i="19"/>
  <c r="Q48" i="19"/>
  <c r="N48" i="19"/>
  <c r="O48" i="19"/>
  <c r="S48" i="19"/>
  <c r="J51" i="19"/>
  <c r="F50" i="19"/>
  <c r="E50" i="19"/>
  <c r="H50" i="19" s="1"/>
  <c r="B50" i="19"/>
  <c r="K50" i="19" l="1"/>
  <c r="I50" i="19" s="1"/>
  <c r="L50" i="19"/>
  <c r="M50" i="19"/>
  <c r="R50" i="19" s="1"/>
  <c r="G50" i="19"/>
  <c r="J52" i="19"/>
  <c r="E51" i="19"/>
  <c r="H51" i="19" s="1"/>
  <c r="F51" i="19"/>
  <c r="O49" i="19"/>
  <c r="S49" i="19"/>
  <c r="N49" i="19"/>
  <c r="Q49" i="19"/>
  <c r="P49" i="19"/>
  <c r="B51" i="19"/>
  <c r="N50" i="19" l="1"/>
  <c r="O50" i="19"/>
  <c r="P50" i="19"/>
  <c r="Q50" i="19"/>
  <c r="S50" i="19"/>
  <c r="K51" i="19"/>
  <c r="I51" i="19" s="1"/>
  <c r="L51" i="19"/>
  <c r="M51" i="19"/>
  <c r="R51" i="19" s="1"/>
  <c r="G51" i="19"/>
  <c r="F52" i="19"/>
  <c r="E52" i="19"/>
  <c r="H52" i="19" s="1"/>
  <c r="B52" i="19"/>
  <c r="L52" i="19" l="1"/>
  <c r="M52" i="19"/>
  <c r="R52" i="19" s="1"/>
  <c r="K52" i="19"/>
  <c r="I52" i="19" s="1"/>
  <c r="G52" i="19"/>
  <c r="O51" i="19"/>
  <c r="N51" i="19"/>
  <c r="P51" i="19"/>
  <c r="Q51" i="19"/>
  <c r="S51" i="19"/>
  <c r="B53" i="19"/>
  <c r="N52" i="19" l="1"/>
  <c r="S52" i="19"/>
  <c r="Q52" i="19"/>
  <c r="O52" i="19"/>
  <c r="P52" i="19"/>
  <c r="J55" i="19"/>
  <c r="B54" i="19"/>
  <c r="E55" i="19" l="1"/>
  <c r="H55" i="19" s="1"/>
  <c r="J56" i="19"/>
  <c r="B55" i="19"/>
  <c r="F55" i="19"/>
  <c r="E56" i="19" l="1"/>
  <c r="H56" i="19" s="1"/>
  <c r="J57" i="19"/>
  <c r="B56" i="19"/>
  <c r="F56" i="19"/>
  <c r="K55" i="19"/>
  <c r="I55" i="19" s="1"/>
  <c r="G55" i="19"/>
  <c r="L55" i="19"/>
  <c r="M55" i="19"/>
  <c r="R55" i="19" s="1"/>
  <c r="K56" i="19" l="1"/>
  <c r="I56" i="19" s="1"/>
  <c r="M56" i="19"/>
  <c r="R56" i="19" s="1"/>
  <c r="L56" i="19"/>
  <c r="G56" i="19"/>
  <c r="O55" i="19"/>
  <c r="P55" i="19"/>
  <c r="N55" i="19"/>
  <c r="S55" i="19"/>
  <c r="Q55" i="19"/>
  <c r="E57" i="19"/>
  <c r="H57" i="19" s="1"/>
  <c r="J58" i="19"/>
  <c r="B57" i="19"/>
  <c r="F57" i="19"/>
  <c r="O56" i="19" l="1"/>
  <c r="P56" i="19"/>
  <c r="Q56" i="19"/>
  <c r="N56" i="19"/>
  <c r="S56" i="19"/>
  <c r="J59" i="19"/>
  <c r="E58" i="19"/>
  <c r="H58" i="19" s="1"/>
  <c r="B58" i="19"/>
  <c r="F58" i="19"/>
  <c r="K57" i="19"/>
  <c r="I57" i="19" s="1"/>
  <c r="G57" i="19"/>
  <c r="M57" i="19"/>
  <c r="R57" i="19" s="1"/>
  <c r="L57" i="19"/>
  <c r="Q57" i="19" l="1"/>
  <c r="O57" i="19"/>
  <c r="N57" i="19"/>
  <c r="P57" i="19"/>
  <c r="S57" i="19"/>
  <c r="E59" i="19"/>
  <c r="H59" i="19" s="1"/>
  <c r="J60" i="19"/>
  <c r="B59" i="19"/>
  <c r="F59" i="19"/>
  <c r="L58" i="19"/>
  <c r="M58" i="19"/>
  <c r="R58" i="19" s="1"/>
  <c r="K58" i="19"/>
  <c r="I58" i="19" s="1"/>
  <c r="G58" i="19"/>
  <c r="P58" i="19" l="1"/>
  <c r="N58" i="19"/>
  <c r="S58" i="19"/>
  <c r="Q58" i="19"/>
  <c r="O58" i="19"/>
  <c r="K59" i="19"/>
  <c r="I59" i="19" s="1"/>
  <c r="L59" i="19"/>
  <c r="M59" i="19"/>
  <c r="R59" i="19" s="1"/>
  <c r="G59" i="19"/>
  <c r="E60" i="19"/>
  <c r="H60" i="19" s="1"/>
  <c r="J61" i="19"/>
  <c r="F60" i="19"/>
  <c r="B60" i="19"/>
  <c r="E61" i="19" l="1"/>
  <c r="H61" i="19" s="1"/>
  <c r="J62" i="19"/>
  <c r="B61" i="19"/>
  <c r="F61" i="19"/>
  <c r="K60" i="19"/>
  <c r="I60" i="19" s="1"/>
  <c r="G60" i="19"/>
  <c r="L60" i="19"/>
  <c r="M60" i="19"/>
  <c r="R60" i="19" s="1"/>
  <c r="Q59" i="19"/>
  <c r="O59" i="19"/>
  <c r="P59" i="19"/>
  <c r="S59" i="19"/>
  <c r="N59" i="19"/>
  <c r="E62" i="19" l="1"/>
  <c r="H62" i="19" s="1"/>
  <c r="J63" i="19"/>
  <c r="F62" i="19"/>
  <c r="B62" i="19"/>
  <c r="N60" i="19"/>
  <c r="P60" i="19"/>
  <c r="S60" i="19"/>
  <c r="Q60" i="19"/>
  <c r="O60" i="19"/>
  <c r="K61" i="19"/>
  <c r="I61" i="19" s="1"/>
  <c r="G61" i="19"/>
  <c r="M61" i="19"/>
  <c r="R61" i="19" s="1"/>
  <c r="L61" i="19"/>
  <c r="M62" i="19" l="1"/>
  <c r="R62" i="19" s="1"/>
  <c r="G62" i="19"/>
  <c r="L62" i="19"/>
  <c r="K62" i="19"/>
  <c r="I62" i="19" s="1"/>
  <c r="N61" i="19"/>
  <c r="P61" i="19"/>
  <c r="Q61" i="19"/>
  <c r="O61" i="19"/>
  <c r="S61" i="19"/>
  <c r="J64" i="19"/>
  <c r="E63" i="19"/>
  <c r="H63" i="19" s="1"/>
  <c r="F63" i="19"/>
  <c r="B63" i="19"/>
  <c r="M63" i="19" l="1"/>
  <c r="R63" i="19" s="1"/>
  <c r="L63" i="19"/>
  <c r="K63" i="19"/>
  <c r="I63" i="19" s="1"/>
  <c r="G63" i="19"/>
  <c r="J65" i="19"/>
  <c r="E64" i="19"/>
  <c r="H64" i="19" s="1"/>
  <c r="F64" i="19"/>
  <c r="B64" i="19"/>
  <c r="N62" i="19"/>
  <c r="P62" i="19"/>
  <c r="S62" i="19"/>
  <c r="O62" i="19"/>
  <c r="Q62" i="19"/>
  <c r="E65" i="19" l="1"/>
  <c r="H65" i="19" s="1"/>
  <c r="J66" i="19"/>
  <c r="F65" i="19"/>
  <c r="B65" i="19"/>
  <c r="L64" i="19"/>
  <c r="K64" i="19"/>
  <c r="I64" i="19" s="1"/>
  <c r="G64" i="19"/>
  <c r="M64" i="19"/>
  <c r="R64" i="19" s="1"/>
  <c r="S63" i="19"/>
  <c r="O63" i="19"/>
  <c r="N63" i="19"/>
  <c r="P63" i="19"/>
  <c r="Q63" i="19"/>
  <c r="E66" i="19" l="1"/>
  <c r="H66" i="19" s="1"/>
  <c r="J67" i="19"/>
  <c r="F66" i="19"/>
  <c r="B66" i="19"/>
  <c r="P64" i="19"/>
  <c r="N64" i="19"/>
  <c r="O64" i="19"/>
  <c r="S64" i="19"/>
  <c r="Q64" i="19"/>
  <c r="K65" i="19"/>
  <c r="I65" i="19" s="1"/>
  <c r="L65" i="19"/>
  <c r="M65" i="19"/>
  <c r="R65" i="19" s="1"/>
  <c r="G65" i="19"/>
  <c r="P65" i="19" l="1"/>
  <c r="Q65" i="19"/>
  <c r="O65" i="19"/>
  <c r="S65" i="19"/>
  <c r="N65" i="19"/>
  <c r="B67" i="19"/>
  <c r="E67" i="19"/>
  <c r="H67" i="19" s="1"/>
  <c r="J68" i="19"/>
  <c r="F67" i="19"/>
  <c r="K66" i="19"/>
  <c r="I66" i="19" s="1"/>
  <c r="G66" i="19"/>
  <c r="L66" i="19"/>
  <c r="M66" i="19"/>
  <c r="R66" i="19" s="1"/>
  <c r="N66" i="19" l="1"/>
  <c r="P66" i="19"/>
  <c r="Q66" i="19"/>
  <c r="S66" i="19"/>
  <c r="O66" i="19"/>
  <c r="K67" i="19"/>
  <c r="I67" i="19" s="1"/>
  <c r="L67" i="19"/>
  <c r="M67" i="19"/>
  <c r="R67" i="19" s="1"/>
  <c r="G67" i="19"/>
  <c r="B68" i="19"/>
  <c r="E68" i="19"/>
  <c r="H68" i="19" s="1"/>
  <c r="J69" i="19"/>
  <c r="F68" i="19"/>
  <c r="B69" i="19" l="1"/>
  <c r="E69" i="19"/>
  <c r="H69" i="19" s="1"/>
  <c r="J70" i="19"/>
  <c r="F69" i="19"/>
  <c r="K68" i="19"/>
  <c r="I68" i="19" s="1"/>
  <c r="L68" i="19"/>
  <c r="M68" i="19"/>
  <c r="R68" i="19" s="1"/>
  <c r="G68" i="19"/>
  <c r="P67" i="19"/>
  <c r="Q67" i="19"/>
  <c r="S67" i="19"/>
  <c r="O67" i="19"/>
  <c r="N67" i="19"/>
  <c r="J71" i="19" l="1"/>
  <c r="E70" i="19"/>
  <c r="H70" i="19" s="1"/>
  <c r="F70" i="19"/>
  <c r="L69" i="19"/>
  <c r="M69" i="19"/>
  <c r="R69" i="19" s="1"/>
  <c r="K69" i="19"/>
  <c r="I69" i="19" s="1"/>
  <c r="G69" i="19"/>
  <c r="N68" i="19"/>
  <c r="S68" i="19"/>
  <c r="O68" i="19"/>
  <c r="P68" i="19"/>
  <c r="Q68" i="19"/>
  <c r="P69" i="19" l="1"/>
  <c r="Q69" i="19"/>
  <c r="S69" i="19"/>
  <c r="N69" i="19"/>
  <c r="O69" i="19"/>
  <c r="J72" i="19"/>
  <c r="E71" i="19"/>
  <c r="H71" i="19" s="1"/>
  <c r="F71" i="19"/>
  <c r="M70" i="19"/>
  <c r="R70" i="19" s="1"/>
  <c r="L70" i="19"/>
  <c r="K70" i="19"/>
  <c r="I70" i="19" s="1"/>
  <c r="G70" i="19"/>
  <c r="L71" i="19" l="1"/>
  <c r="K71" i="19"/>
  <c r="I71" i="19" s="1"/>
  <c r="M71" i="19"/>
  <c r="R71" i="19" s="1"/>
  <c r="G71" i="19"/>
  <c r="O70" i="19"/>
  <c r="P70" i="19"/>
  <c r="N70" i="19"/>
  <c r="S70" i="19"/>
  <c r="Q70" i="19"/>
  <c r="J73" i="19"/>
  <c r="E72" i="19"/>
  <c r="H72" i="19" s="1"/>
  <c r="F72" i="19"/>
  <c r="J74" i="19" l="1"/>
  <c r="E73" i="19"/>
  <c r="H73" i="19" s="1"/>
  <c r="F73" i="19"/>
  <c r="M72" i="19"/>
  <c r="R72" i="19" s="1"/>
  <c r="K72" i="19"/>
  <c r="I72" i="19" s="1"/>
  <c r="L72" i="19"/>
  <c r="G72" i="19"/>
  <c r="S71" i="19"/>
  <c r="Q71" i="19"/>
  <c r="O71" i="19"/>
  <c r="N71" i="19"/>
  <c r="P71" i="19"/>
  <c r="J75" i="19" l="1"/>
  <c r="E74" i="19"/>
  <c r="H74" i="19" s="1"/>
  <c r="F74" i="19"/>
  <c r="S72" i="19"/>
  <c r="P72" i="19"/>
  <c r="Q72" i="19"/>
  <c r="N72" i="19"/>
  <c r="O72" i="19"/>
  <c r="K73" i="19"/>
  <c r="I73" i="19" s="1"/>
  <c r="M73" i="19"/>
  <c r="R73" i="19" s="1"/>
  <c r="L73" i="19"/>
  <c r="G73" i="19"/>
  <c r="S73" i="19" l="1"/>
  <c r="N73" i="19"/>
  <c r="Q73" i="19"/>
  <c r="P73" i="19"/>
  <c r="O73" i="19"/>
  <c r="K74" i="19"/>
  <c r="I74" i="19" s="1"/>
  <c r="M74" i="19"/>
  <c r="R74" i="19" s="1"/>
  <c r="L74" i="19"/>
  <c r="G74" i="19"/>
  <c r="E75" i="19"/>
  <c r="H75" i="19" s="1"/>
  <c r="J76" i="19"/>
  <c r="F75" i="19"/>
  <c r="P74" i="19" l="1"/>
  <c r="Q74" i="19"/>
  <c r="O74" i="19"/>
  <c r="S74" i="19"/>
  <c r="N74" i="19"/>
  <c r="E76" i="19"/>
  <c r="H76" i="19" s="1"/>
  <c r="J77" i="19"/>
  <c r="F76" i="19"/>
  <c r="M75" i="19"/>
  <c r="R75" i="19" s="1"/>
  <c r="L75" i="19"/>
  <c r="K75" i="19"/>
  <c r="I75" i="19" s="1"/>
  <c r="G75" i="19"/>
  <c r="L76" i="19" l="1"/>
  <c r="M76" i="19"/>
  <c r="R76" i="19" s="1"/>
  <c r="K76" i="19"/>
  <c r="I76" i="19" s="1"/>
  <c r="G76" i="19"/>
  <c r="O75" i="19"/>
  <c r="Q75" i="19"/>
  <c r="N75" i="19"/>
  <c r="S75" i="19"/>
  <c r="P75" i="19"/>
  <c r="E77" i="19"/>
  <c r="J78" i="19"/>
  <c r="F77" i="19"/>
  <c r="S76" i="19" l="1"/>
  <c r="Q76" i="19"/>
  <c r="O76" i="19"/>
  <c r="N76" i="19"/>
  <c r="P76" i="19"/>
  <c r="E78" i="19"/>
  <c r="J79" i="19"/>
  <c r="F78" i="19"/>
  <c r="J80" i="19" l="1"/>
  <c r="E79" i="19"/>
  <c r="F79" i="19"/>
  <c r="J81" i="19" l="1"/>
  <c r="E80" i="19"/>
  <c r="F80" i="19"/>
  <c r="J82" i="19" l="1"/>
  <c r="E81" i="19"/>
  <c r="F81" i="19"/>
  <c r="E82" i="19" l="1"/>
  <c r="J83" i="19"/>
  <c r="F82" i="19"/>
  <c r="E83" i="19" l="1"/>
  <c r="J84" i="19"/>
  <c r="F83" i="19"/>
  <c r="E84" i="19" l="1"/>
  <c r="J85" i="19"/>
  <c r="F84" i="19"/>
  <c r="E85" i="19" l="1"/>
  <c r="J86" i="19"/>
  <c r="F85" i="19"/>
  <c r="E86" i="19" l="1"/>
  <c r="J87" i="19"/>
  <c r="F86" i="19"/>
  <c r="J88" i="19" l="1"/>
  <c r="E87" i="19"/>
  <c r="F87" i="19"/>
  <c r="E88" i="19" l="1"/>
  <c r="D89" i="19"/>
  <c r="F88" i="19"/>
  <c r="E89" i="19" l="1"/>
  <c r="D90" i="19"/>
  <c r="F89" i="19"/>
  <c r="E90" i="19" l="1"/>
  <c r="D91" i="19"/>
  <c r="F90" i="19"/>
  <c r="E91" i="19" l="1"/>
  <c r="F91" i="19"/>
  <c r="D92" i="19"/>
  <c r="E92" i="19" l="1"/>
  <c r="F92" i="19"/>
  <c r="D93" i="19"/>
  <c r="E93" i="19" l="1"/>
  <c r="F93" i="19"/>
  <c r="D94" i="19"/>
  <c r="E94" i="19" l="1"/>
  <c r="F94" i="19"/>
  <c r="D95" i="19"/>
  <c r="E95" i="19" l="1"/>
  <c r="F95" i="19"/>
  <c r="D96" i="19"/>
  <c r="E96" i="19" l="1"/>
  <c r="F96" i="19"/>
  <c r="D97" i="19"/>
  <c r="E97" i="19" l="1"/>
  <c r="F97" i="19"/>
  <c r="D98" i="19"/>
  <c r="E98" i="19" l="1"/>
  <c r="F98" i="19"/>
  <c r="D99" i="19"/>
  <c r="E99" i="19" l="1"/>
  <c r="F99" i="19"/>
  <c r="D100" i="19"/>
  <c r="E100" i="19" l="1"/>
  <c r="F100" i="19"/>
  <c r="D101" i="19"/>
  <c r="E101" i="19" l="1"/>
  <c r="D102" i="19"/>
  <c r="F101" i="19"/>
  <c r="E102" i="19" l="1"/>
  <c r="F102" i="19"/>
  <c r="D103" i="19"/>
  <c r="E103" i="19" l="1"/>
  <c r="F103" i="19"/>
  <c r="D104" i="19"/>
  <c r="E104" i="19" l="1"/>
  <c r="D105" i="19"/>
  <c r="F104" i="19"/>
  <c r="E105" i="19" l="1"/>
  <c r="F105" i="19"/>
  <c r="D106" i="19"/>
  <c r="E106" i="19" l="1"/>
  <c r="F106" i="19"/>
  <c r="D107" i="19"/>
  <c r="E107" i="19" l="1"/>
  <c r="F107" i="19"/>
  <c r="D108" i="19"/>
  <c r="E108" i="19" l="1"/>
  <c r="F108" i="19"/>
  <c r="D109" i="19"/>
  <c r="E109" i="19" l="1"/>
  <c r="F109" i="19"/>
  <c r="D110" i="19"/>
  <c r="E110" i="19" l="1"/>
  <c r="D111" i="19"/>
  <c r="F110" i="19"/>
  <c r="E111" i="19" l="1"/>
  <c r="F111" i="19"/>
  <c r="D112" i="19"/>
  <c r="E112" i="19" l="1"/>
  <c r="F112" i="19"/>
  <c r="D113" i="19"/>
  <c r="E113" i="19" l="1"/>
  <c r="F113" i="19"/>
  <c r="D114" i="19"/>
  <c r="E114" i="19" l="1"/>
  <c r="F114" i="19"/>
  <c r="D115" i="19"/>
  <c r="E115" i="19" l="1"/>
  <c r="F115" i="19"/>
  <c r="D116" i="19"/>
  <c r="E116" i="19" l="1"/>
  <c r="F116" i="19"/>
  <c r="D117" i="19"/>
  <c r="E117" i="19" l="1"/>
  <c r="F117" i="19"/>
  <c r="D118" i="19"/>
  <c r="E118" i="19" l="1"/>
  <c r="F118" i="19"/>
  <c r="D119" i="19"/>
  <c r="E119" i="19" l="1"/>
  <c r="F119" i="19"/>
  <c r="D120" i="19"/>
  <c r="E120" i="19" l="1"/>
  <c r="F120" i="19"/>
  <c r="D121" i="19"/>
  <c r="E121" i="19" l="1"/>
  <c r="F121" i="19"/>
  <c r="D122" i="19"/>
  <c r="E122" i="19" l="1"/>
  <c r="F122" i="19"/>
  <c r="D123" i="19"/>
  <c r="E123" i="19" l="1"/>
  <c r="F123" i="19"/>
  <c r="D124" i="19"/>
  <c r="E124" i="19" l="1"/>
  <c r="F124" i="19"/>
  <c r="D125" i="19"/>
  <c r="E125" i="19" l="1"/>
  <c r="F125" i="19"/>
  <c r="D126" i="19"/>
  <c r="E126" i="19" l="1"/>
  <c r="F126" i="19"/>
  <c r="D127" i="19"/>
  <c r="E127" i="19" l="1"/>
  <c r="F127" i="19"/>
  <c r="D128" i="19"/>
  <c r="E128" i="19" l="1"/>
  <c r="F128" i="19"/>
  <c r="D129" i="19"/>
  <c r="B30" i="18"/>
  <c r="D30" i="18" l="1"/>
  <c r="C2" i="19"/>
  <c r="E129" i="19"/>
  <c r="D130" i="19"/>
  <c r="F129" i="19"/>
  <c r="E3" i="19" l="1"/>
  <c r="D3" i="19"/>
  <c r="E130" i="19"/>
  <c r="F130" i="19"/>
  <c r="D131" i="19"/>
  <c r="E131" i="19" l="1"/>
  <c r="D132" i="19"/>
  <c r="F131" i="19"/>
  <c r="E132" i="19" l="1"/>
  <c r="F132" i="19"/>
  <c r="D133" i="19"/>
  <c r="E133" i="19" l="1"/>
  <c r="F133" i="19"/>
  <c r="D134" i="19"/>
  <c r="E134" i="19" l="1"/>
  <c r="F134" i="19"/>
  <c r="D135" i="19"/>
  <c r="E135" i="19" l="1"/>
  <c r="F135" i="19"/>
  <c r="D136" i="19"/>
  <c r="E136" i="19" l="1"/>
  <c r="F136" i="19"/>
  <c r="D137" i="19"/>
  <c r="E137" i="19" l="1"/>
  <c r="F137" i="19"/>
  <c r="D138" i="19"/>
  <c r="E138" i="19" l="1"/>
  <c r="F138" i="19"/>
  <c r="D139" i="19"/>
  <c r="E139" i="19" l="1"/>
  <c r="F139" i="19"/>
  <c r="D140" i="19"/>
  <c r="E140" i="19" l="1"/>
  <c r="F140" i="19"/>
  <c r="D141" i="19"/>
  <c r="E141" i="19" l="1"/>
  <c r="F141" i="19"/>
  <c r="D142" i="19"/>
  <c r="E142" i="19" l="1"/>
  <c r="F142" i="19"/>
  <c r="D143" i="19"/>
  <c r="E143" i="19" l="1"/>
  <c r="D144" i="19"/>
  <c r="F143" i="19"/>
  <c r="E144" i="19" l="1"/>
  <c r="F144" i="19"/>
  <c r="D145" i="19"/>
  <c r="E145" i="19" l="1"/>
  <c r="F145" i="19"/>
  <c r="D146" i="19"/>
  <c r="E146" i="19" l="1"/>
  <c r="F146" i="19"/>
  <c r="D147" i="19"/>
  <c r="E147" i="19" l="1"/>
  <c r="F147" i="19"/>
  <c r="D148" i="19"/>
  <c r="E148" i="19" l="1"/>
  <c r="F148" i="19"/>
  <c r="D149" i="19"/>
  <c r="E149" i="19" l="1"/>
  <c r="F149" i="19"/>
  <c r="D150" i="19"/>
  <c r="E150" i="19" l="1"/>
  <c r="F150" i="19"/>
  <c r="D151" i="19"/>
  <c r="E151" i="19" l="1"/>
  <c r="F151" i="19"/>
  <c r="D152" i="19"/>
  <c r="E152" i="19" l="1"/>
  <c r="F152" i="19"/>
  <c r="D153" i="19"/>
  <c r="E153" i="19" l="1"/>
  <c r="D154" i="19"/>
  <c r="F153" i="19"/>
  <c r="E154" i="19" l="1"/>
  <c r="F154" i="19"/>
  <c r="D155" i="19"/>
  <c r="E155" i="19" l="1"/>
  <c r="F155" i="19"/>
  <c r="D156" i="19"/>
  <c r="E156" i="19" l="1"/>
  <c r="F156" i="19"/>
  <c r="D157" i="19"/>
  <c r="E157" i="19" l="1"/>
  <c r="F157" i="19"/>
  <c r="D158" i="19"/>
  <c r="E158" i="19" l="1"/>
  <c r="F158" i="19"/>
  <c r="D159" i="19"/>
  <c r="E159" i="19" l="1"/>
  <c r="F159" i="19"/>
  <c r="D160" i="19"/>
  <c r="E160" i="19" l="1"/>
  <c r="F160" i="19"/>
  <c r="D161" i="19"/>
  <c r="E161" i="19" l="1"/>
  <c r="F161" i="19"/>
  <c r="D162" i="19"/>
  <c r="E162" i="19" l="1"/>
  <c r="F162" i="19"/>
  <c r="D163" i="19"/>
  <c r="E163" i="19" l="1"/>
  <c r="F163" i="19"/>
  <c r="D164" i="19"/>
  <c r="E164" i="19" l="1"/>
  <c r="F164" i="19"/>
  <c r="D165" i="19"/>
  <c r="E165" i="19" l="1"/>
  <c r="F165" i="19"/>
  <c r="D166" i="19"/>
  <c r="E166" i="19" l="1"/>
  <c r="F166" i="19"/>
  <c r="D167" i="19"/>
  <c r="E167" i="19" l="1"/>
  <c r="F167" i="19"/>
  <c r="D168" i="19"/>
  <c r="E168" i="19" l="1"/>
  <c r="F168" i="19"/>
  <c r="D169" i="19"/>
  <c r="E169" i="19" l="1"/>
  <c r="F169" i="19"/>
  <c r="D170" i="19"/>
  <c r="E170" i="19" l="1"/>
  <c r="F170" i="19"/>
  <c r="D171" i="19"/>
  <c r="E171" i="19" l="1"/>
  <c r="F171" i="19"/>
  <c r="D172" i="19"/>
  <c r="E172" i="19" l="1"/>
  <c r="F172" i="19"/>
  <c r="D173" i="19"/>
  <c r="E173" i="19" l="1"/>
  <c r="F173" i="19"/>
  <c r="D174" i="19"/>
  <c r="E174" i="19" l="1"/>
  <c r="D175" i="19"/>
  <c r="F174" i="19"/>
  <c r="E175" i="19" l="1"/>
  <c r="D176" i="19"/>
  <c r="F175" i="19"/>
  <c r="E176" i="19" l="1"/>
  <c r="F176" i="19"/>
  <c r="D177" i="19"/>
  <c r="E177" i="19" l="1"/>
  <c r="D178" i="19"/>
  <c r="F177" i="19"/>
  <c r="E178" i="19" l="1"/>
  <c r="D179" i="19"/>
  <c r="F178" i="19"/>
  <c r="E179" i="19" l="1"/>
  <c r="D180" i="19"/>
  <c r="F179" i="19"/>
  <c r="E180" i="19" l="1"/>
  <c r="F180" i="19"/>
  <c r="D181" i="19"/>
  <c r="E181" i="19" l="1"/>
  <c r="F181" i="19"/>
  <c r="D182" i="19"/>
  <c r="E182" i="19" l="1"/>
  <c r="F182" i="19"/>
  <c r="D183" i="19"/>
  <c r="E183" i="19" l="1"/>
  <c r="F183" i="19"/>
  <c r="D184" i="19"/>
  <c r="E184" i="19" l="1"/>
  <c r="F184" i="19"/>
  <c r="D185" i="19"/>
  <c r="E185" i="19" l="1"/>
  <c r="F185" i="19"/>
  <c r="D186" i="19"/>
  <c r="E186" i="19" l="1"/>
  <c r="F186" i="19"/>
  <c r="D187" i="19"/>
  <c r="E187" i="19" l="1"/>
  <c r="F187" i="19"/>
  <c r="D188" i="19"/>
  <c r="E188" i="19" l="1"/>
  <c r="F188" i="19"/>
  <c r="D189" i="19"/>
  <c r="E189" i="19" l="1"/>
  <c r="F189" i="19"/>
  <c r="D190" i="19"/>
  <c r="E190" i="19" l="1"/>
  <c r="F190" i="19"/>
  <c r="D191" i="19"/>
  <c r="E191" i="19" l="1"/>
  <c r="F191" i="19"/>
  <c r="D192" i="19"/>
  <c r="E192" i="19" l="1"/>
  <c r="F192" i="19"/>
  <c r="D193" i="19"/>
  <c r="E193" i="19" l="1"/>
  <c r="D194" i="19"/>
  <c r="F193" i="19"/>
  <c r="E194" i="19" l="1"/>
  <c r="F194" i="19"/>
  <c r="D195" i="19"/>
  <c r="E195" i="19" l="1"/>
  <c r="F195" i="19"/>
  <c r="D196" i="19"/>
  <c r="E196" i="19" l="1"/>
  <c r="F196" i="19"/>
  <c r="D197" i="19"/>
  <c r="E197" i="19" l="1"/>
  <c r="F197" i="19"/>
  <c r="D198" i="19"/>
  <c r="E198" i="19" l="1"/>
  <c r="D199" i="19"/>
  <c r="F198" i="19"/>
  <c r="E199" i="19" l="1"/>
  <c r="F199" i="19"/>
  <c r="D200" i="19"/>
  <c r="E200" i="19" l="1"/>
  <c r="F200" i="19"/>
  <c r="D201" i="19"/>
  <c r="E201" i="19" l="1"/>
  <c r="D202" i="19"/>
  <c r="F201" i="19"/>
  <c r="E202" i="19" l="1"/>
  <c r="F202" i="19"/>
  <c r="D203" i="19"/>
  <c r="E203" i="19" l="1"/>
  <c r="F203" i="19"/>
  <c r="D204" i="19"/>
  <c r="S38" i="19"/>
  <c r="O38" i="19"/>
  <c r="Q38" i="19"/>
  <c r="N38" i="19"/>
  <c r="Q13" i="19"/>
  <c r="O13" i="19"/>
  <c r="S13" i="19"/>
  <c r="N13" i="19"/>
  <c r="N28" i="19"/>
  <c r="Q28" i="19"/>
  <c r="O28" i="19"/>
  <c r="S28" i="19"/>
  <c r="N42" i="19"/>
  <c r="Q42" i="19"/>
  <c r="S42" i="19"/>
  <c r="O42" i="19"/>
  <c r="N36" i="19"/>
  <c r="S36" i="19"/>
  <c r="Q36" i="19"/>
  <c r="O36" i="19"/>
  <c r="S22" i="19"/>
  <c r="Q22" i="19"/>
  <c r="O22" i="19"/>
  <c r="N22" i="19"/>
  <c r="S29" i="19"/>
  <c r="Q29" i="19"/>
  <c r="O29" i="19"/>
  <c r="N29" i="19"/>
  <c r="Q15" i="19"/>
  <c r="O15" i="19"/>
  <c r="N15" i="19"/>
  <c r="S15" i="19"/>
  <c r="N18" i="19"/>
  <c r="O18" i="19"/>
  <c r="S18" i="19"/>
  <c r="Q18" i="19"/>
  <c r="N20" i="19"/>
  <c r="Q20" i="19"/>
  <c r="S20" i="19"/>
  <c r="O20" i="19"/>
  <c r="S40" i="19"/>
  <c r="O40" i="19"/>
  <c r="Q40" i="19"/>
  <c r="N40" i="19"/>
  <c r="O19" i="19"/>
  <c r="S19" i="19"/>
  <c r="N19" i="19"/>
  <c r="Q19" i="19"/>
  <c r="N41" i="19"/>
  <c r="Q41" i="19"/>
  <c r="O41" i="19"/>
  <c r="S41" i="19"/>
  <c r="O24" i="19"/>
  <c r="Q24" i="19"/>
  <c r="N24" i="19"/>
  <c r="S24" i="19"/>
  <c r="N27" i="19"/>
  <c r="Q27" i="19"/>
  <c r="O27" i="19"/>
  <c r="S27" i="19"/>
  <c r="O11" i="19"/>
  <c r="Q11" i="19"/>
  <c r="N11" i="19"/>
  <c r="S21" i="19"/>
  <c r="O21" i="19"/>
  <c r="N21" i="19"/>
  <c r="Q21" i="19"/>
  <c r="Q32" i="19"/>
  <c r="S32" i="19"/>
  <c r="O32" i="19"/>
  <c r="N32" i="19"/>
  <c r="O31" i="19"/>
  <c r="N31" i="19"/>
  <c r="S31" i="19"/>
  <c r="Q31" i="19"/>
  <c r="O37" i="19"/>
  <c r="N37" i="19"/>
  <c r="Q37" i="19"/>
  <c r="S37" i="19"/>
  <c r="Q34" i="19"/>
  <c r="S34" i="19"/>
  <c r="N34" i="19"/>
  <c r="O34" i="19"/>
  <c r="O33" i="19"/>
  <c r="N33" i="19"/>
  <c r="Q33" i="19"/>
  <c r="S33" i="19"/>
  <c r="O35" i="19"/>
  <c r="Q35" i="19"/>
  <c r="N35" i="19"/>
  <c r="S35" i="19"/>
  <c r="Q16" i="19"/>
  <c r="N16" i="19"/>
  <c r="S16" i="19"/>
  <c r="O16" i="19"/>
  <c r="N43" i="19"/>
  <c r="O43" i="19"/>
  <c r="S43" i="19"/>
  <c r="Q43" i="19"/>
  <c r="O26" i="19"/>
  <c r="N26" i="19"/>
  <c r="Q26" i="19"/>
  <c r="S26" i="19"/>
  <c r="Q14" i="19"/>
  <c r="N14" i="19"/>
  <c r="O14" i="19"/>
  <c r="S14" i="19"/>
  <c r="N12" i="19"/>
  <c r="O12" i="19"/>
  <c r="Q12" i="19"/>
  <c r="S12" i="19"/>
  <c r="O39" i="19"/>
  <c r="S39" i="19"/>
  <c r="N39" i="19"/>
  <c r="Q39" i="19"/>
  <c r="Q17" i="19"/>
  <c r="O17" i="19"/>
  <c r="N17" i="19"/>
  <c r="S17" i="19"/>
  <c r="S25" i="19"/>
  <c r="O25" i="19"/>
  <c r="N25" i="19"/>
  <c r="Q25" i="19"/>
  <c r="N30" i="19"/>
  <c r="Q30" i="19"/>
  <c r="S30" i="19"/>
  <c r="O30" i="19"/>
  <c r="S23" i="19"/>
  <c r="O23" i="19"/>
  <c r="Q23" i="19"/>
  <c r="N23" i="19"/>
  <c r="Q44" i="19"/>
  <c r="S44" i="19"/>
  <c r="N44" i="19"/>
  <c r="O44" i="19"/>
  <c r="E204" i="19" l="1"/>
  <c r="F204" i="19"/>
  <c r="D205" i="19"/>
  <c r="D19" i="24"/>
  <c r="E19" i="24" s="1"/>
  <c r="D21" i="24"/>
  <c r="E21" i="24" s="1"/>
  <c r="D25" i="24"/>
  <c r="E25" i="24" s="1"/>
  <c r="D17" i="24"/>
  <c r="E17" i="24" s="1"/>
  <c r="D22" i="24"/>
  <c r="E22" i="24" s="1"/>
  <c r="D18" i="24"/>
  <c r="E18" i="24" s="1"/>
  <c r="D26" i="24"/>
  <c r="E26" i="24" s="1"/>
  <c r="D23" i="24"/>
  <c r="E23" i="24" s="1"/>
  <c r="D28" i="24"/>
  <c r="D24" i="24"/>
  <c r="E24" i="24" s="1"/>
  <c r="E16" i="24"/>
  <c r="D20" i="24"/>
  <c r="E20" i="24" s="1"/>
  <c r="E205" i="19" l="1"/>
  <c r="F205" i="19"/>
  <c r="D206" i="19"/>
  <c r="E15" i="24"/>
  <c r="D10" i="24"/>
  <c r="F28" i="24"/>
  <c r="E28" i="24"/>
  <c r="E206" i="19" l="1"/>
  <c r="F206" i="19"/>
  <c r="D207" i="19"/>
  <c r="G28" i="24"/>
  <c r="E207" i="19" l="1"/>
  <c r="F207" i="19"/>
  <c r="D208" i="19"/>
  <c r="D43" i="24"/>
  <c r="E43" i="24" s="1"/>
  <c r="D41" i="24"/>
  <c r="E41" i="24" s="1"/>
  <c r="D42" i="24"/>
  <c r="E42" i="24" s="1"/>
  <c r="D39" i="24"/>
  <c r="E40" i="24"/>
  <c r="D44" i="24"/>
  <c r="E44" i="24" s="1"/>
  <c r="E208" i="19" l="1"/>
  <c r="D209" i="19"/>
  <c r="F208" i="19"/>
  <c r="D37" i="24"/>
  <c r="E39" i="24"/>
  <c r="E38" i="24" s="1"/>
  <c r="D12" i="24" s="1"/>
  <c r="D40" i="24"/>
  <c r="E209" i="19" l="1"/>
  <c r="D210" i="19"/>
  <c r="F209" i="19"/>
  <c r="D4" i="24"/>
  <c r="E210" i="19" l="1"/>
  <c r="D211" i="19"/>
  <c r="F210" i="19"/>
  <c r="F6" i="24"/>
  <c r="E211" i="19" l="1"/>
  <c r="D212" i="19"/>
  <c r="F211" i="19"/>
  <c r="F7" i="24"/>
  <c r="F212" i="19" l="1"/>
  <c r="E212" i="19"/>
  <c r="F1" i="24"/>
  <c r="F21" i="24" l="1"/>
  <c r="G21" i="24" s="1"/>
  <c r="F25" i="24"/>
  <c r="G25" i="24" s="1"/>
  <c r="F23" i="24"/>
  <c r="G23" i="24" s="1"/>
  <c r="F8" i="24"/>
  <c r="F5" i="24" s="1"/>
  <c r="F17" i="24"/>
  <c r="G17" i="24" s="1"/>
  <c r="F22" i="24"/>
  <c r="G22" i="24" s="1"/>
  <c r="F24" i="24"/>
  <c r="G24" i="24" s="1"/>
  <c r="F20" i="24"/>
  <c r="G20" i="24" s="1"/>
  <c r="F18" i="24"/>
  <c r="G18" i="24" s="1"/>
  <c r="F19" i="24"/>
  <c r="G19" i="24" s="1"/>
  <c r="F26" i="24"/>
  <c r="G26" i="24" s="1"/>
  <c r="F16" i="24"/>
  <c r="G16" i="24" s="1"/>
  <c r="F9" i="24" l="1"/>
  <c r="G15" i="24"/>
  <c r="F10" i="24"/>
  <c r="C1" i="14" l="1"/>
  <c r="I9" i="14" l="1"/>
  <c r="E1" i="14"/>
  <c r="I10" i="14"/>
  <c r="D24" i="18"/>
  <c r="F35" i="8"/>
  <c r="F32" i="8"/>
  <c r="G18" i="8" s="1"/>
  <c r="AC126" i="21"/>
  <c r="F108" i="21"/>
  <c r="Z108" i="21" s="1"/>
  <c r="AD108" i="21" s="1"/>
  <c r="F90" i="21"/>
  <c r="Z90" i="21" s="1"/>
  <c r="AD90" i="21" s="1"/>
  <c r="F96" i="21"/>
  <c r="Z96" i="21" s="1"/>
  <c r="AD96" i="21" s="1"/>
  <c r="F25" i="21"/>
  <c r="Z25" i="21" s="1"/>
  <c r="AD25" i="21" s="1"/>
  <c r="D6" i="9"/>
  <c r="F29" i="21"/>
  <c r="Z29" i="21" s="1"/>
  <c r="AD29" i="21" s="1"/>
  <c r="F92" i="21"/>
  <c r="Z92" i="21" s="1"/>
  <c r="AD92" i="21" s="1"/>
  <c r="F58" i="21"/>
  <c r="Z58" i="21" s="1"/>
  <c r="AD58" i="21" s="1"/>
  <c r="F59" i="21"/>
  <c r="Z59" i="21" s="1"/>
  <c r="AD59" i="21" s="1"/>
  <c r="F35" i="21"/>
  <c r="Z35" i="21" s="1"/>
  <c r="AD35" i="21" s="1"/>
  <c r="F33" i="21"/>
  <c r="Z33" i="21" s="1"/>
  <c r="AD33" i="21" s="1"/>
  <c r="F86" i="21"/>
  <c r="Z86" i="21" s="1"/>
  <c r="AD86" i="21" s="1"/>
  <c r="F109" i="21"/>
  <c r="Z109" i="21" s="1"/>
  <c r="AD109" i="21" s="1"/>
  <c r="F98" i="21"/>
  <c r="Z98" i="21" s="1"/>
  <c r="AD98" i="21" s="1"/>
  <c r="F24" i="21"/>
  <c r="Z24" i="21" s="1"/>
  <c r="AD24" i="21" s="1"/>
  <c r="F23" i="21"/>
  <c r="Z23" i="21" s="1"/>
  <c r="AD23" i="21" s="1"/>
  <c r="F69" i="21"/>
  <c r="Z69" i="21" s="1"/>
  <c r="AD69" i="21" s="1"/>
  <c r="F14" i="21"/>
  <c r="Z14" i="21" s="1"/>
  <c r="G129" i="21"/>
  <c r="F110" i="21"/>
  <c r="Z110" i="21" s="1"/>
  <c r="AD110" i="21" s="1"/>
  <c r="F103" i="21"/>
  <c r="Z103" i="21" s="1"/>
  <c r="AD103" i="21" s="1"/>
  <c r="F105" i="21"/>
  <c r="Z105" i="21" s="1"/>
  <c r="AD105" i="21" s="1"/>
  <c r="AC9" i="21"/>
  <c r="F62" i="21"/>
  <c r="Z62" i="21" s="1"/>
  <c r="AD62" i="21" s="1"/>
  <c r="F97" i="21"/>
  <c r="Z97" i="21" s="1"/>
  <c r="AD97" i="21" s="1"/>
  <c r="AC4" i="21"/>
  <c r="F91" i="21"/>
  <c r="Z91" i="21" s="1"/>
  <c r="AD91" i="21" s="1"/>
  <c r="F70" i="21"/>
  <c r="Z70" i="21" s="1"/>
  <c r="AD70" i="21" s="1"/>
  <c r="F94" i="21"/>
  <c r="Z94" i="21" s="1"/>
  <c r="AD94" i="21" s="1"/>
  <c r="F34" i="21"/>
  <c r="Z34" i="21" s="1"/>
  <c r="AD34" i="21" s="1"/>
  <c r="F117" i="21"/>
  <c r="Z117" i="21" s="1"/>
  <c r="F18" i="21"/>
  <c r="Z18" i="21" s="1"/>
  <c r="AD18" i="21" s="1"/>
  <c r="E37" i="9"/>
  <c r="B31" i="15"/>
  <c r="B33" i="15" s="1"/>
  <c r="B35" i="15" s="1"/>
  <c r="B13" i="15"/>
  <c r="AC62" i="21" l="1"/>
  <c r="AC90" i="21"/>
  <c r="AC94" i="21"/>
  <c r="AC69" i="21"/>
  <c r="AC33" i="21"/>
  <c r="E39" i="9"/>
  <c r="AC92" i="21"/>
  <c r="AC70" i="21"/>
  <c r="AC103" i="21"/>
  <c r="AC35" i="21"/>
  <c r="AC108" i="21"/>
  <c r="AC91" i="21"/>
  <c r="AC29" i="21"/>
  <c r="B41" i="15"/>
  <c r="B37" i="15"/>
  <c r="F14" i="9"/>
  <c r="AC23" i="21"/>
  <c r="AC105" i="21"/>
  <c r="AC24" i="21"/>
  <c r="AC59" i="21"/>
  <c r="AC25" i="21"/>
  <c r="H10" i="14"/>
  <c r="J10" i="14"/>
  <c r="AC117" i="21"/>
  <c r="AD117" i="21"/>
  <c r="AC86" i="21"/>
  <c r="B16" i="15"/>
  <c r="C16" i="15"/>
  <c r="D16" i="15"/>
  <c r="AC98" i="21"/>
  <c r="G20" i="8"/>
  <c r="N44" i="8" s="1"/>
  <c r="D21" i="8"/>
  <c r="AC14" i="21"/>
  <c r="AC34" i="21"/>
  <c r="AC110" i="21"/>
  <c r="AC18" i="21"/>
  <c r="AC97" i="21"/>
  <c r="AC109" i="21"/>
  <c r="AC58" i="21"/>
  <c r="AC96" i="21"/>
  <c r="J9" i="14"/>
  <c r="H9" i="14"/>
  <c r="AF70" i="21" l="1"/>
  <c r="AB70" i="21"/>
  <c r="D22" i="8"/>
  <c r="AF105" i="21"/>
  <c r="AB105" i="21"/>
  <c r="AB92" i="21"/>
  <c r="AF92" i="21"/>
  <c r="D15" i="15"/>
  <c r="D18" i="15"/>
  <c r="AB29" i="21"/>
  <c r="AF29" i="21"/>
  <c r="AB108" i="21"/>
  <c r="AF108" i="21"/>
  <c r="AB18" i="21"/>
  <c r="AF18" i="21"/>
  <c r="AB110" i="21"/>
  <c r="AF110" i="21"/>
  <c r="AB23" i="21"/>
  <c r="AF23" i="21"/>
  <c r="AF94" i="21"/>
  <c r="AB94" i="21"/>
  <c r="AB69" i="21"/>
  <c r="AF69" i="21"/>
  <c r="AF96" i="21"/>
  <c r="AB96" i="21"/>
  <c r="AB58" i="21"/>
  <c r="AF58" i="21"/>
  <c r="C15" i="15"/>
  <c r="C18" i="15"/>
  <c r="AB25" i="21"/>
  <c r="AF25" i="21"/>
  <c r="AB35" i="21"/>
  <c r="AF35" i="21"/>
  <c r="AG35" i="21"/>
  <c r="AB98" i="21"/>
  <c r="AF98" i="21"/>
  <c r="AB86" i="21"/>
  <c r="AF86" i="21"/>
  <c r="AF91" i="21"/>
  <c r="AB91" i="21"/>
  <c r="AB90" i="21"/>
  <c r="AF90" i="21"/>
  <c r="AB34" i="21"/>
  <c r="AG34" i="21"/>
  <c r="AF34" i="21"/>
  <c r="AB59" i="21"/>
  <c r="AF59" i="21"/>
  <c r="AB103" i="21"/>
  <c r="AF103" i="21"/>
  <c r="AB33" i="21"/>
  <c r="AF33" i="21"/>
  <c r="AF62" i="21"/>
  <c r="AB62" i="21"/>
  <c r="AB109" i="21"/>
  <c r="AF109" i="21"/>
  <c r="B18" i="15"/>
  <c r="B15" i="15"/>
  <c r="AF97" i="21"/>
  <c r="AB97" i="21"/>
  <c r="AB117" i="21"/>
  <c r="AF117" i="21"/>
  <c r="AB24" i="21"/>
  <c r="AF24" i="21"/>
  <c r="B44" i="15"/>
  <c r="E14" i="9" s="1"/>
  <c r="B43" i="15"/>
  <c r="B39" i="15"/>
  <c r="B38" i="15" s="1"/>
  <c r="D19" i="15" l="1"/>
  <c r="D25" i="15"/>
  <c r="D26" i="15" s="1"/>
  <c r="I18" i="8"/>
  <c r="I20" i="8" s="1"/>
  <c r="H18" i="8"/>
  <c r="J20" i="8"/>
  <c r="J18" i="8"/>
  <c r="B19" i="15"/>
  <c r="B25" i="15"/>
  <c r="B48" i="15"/>
  <c r="B50" i="15" s="1"/>
  <c r="B52" i="15" s="1"/>
  <c r="C19" i="15"/>
  <c r="C25" i="15"/>
  <c r="C26" i="15" s="1"/>
  <c r="C19" i="8" l="1"/>
  <c r="D8" i="8" s="1"/>
  <c r="F8" i="8" s="1"/>
  <c r="C18" i="8"/>
  <c r="F12" i="9" s="1"/>
  <c r="B58" i="15"/>
  <c r="B54" i="15"/>
  <c r="B26" i="15"/>
  <c r="AG44" i="8"/>
  <c r="B22" i="15"/>
  <c r="B20" i="15"/>
  <c r="F13" i="9"/>
  <c r="H20" i="8"/>
  <c r="D43" i="8"/>
  <c r="Q44" i="8"/>
  <c r="B27" i="15" l="1"/>
  <c r="E13" i="9" s="1"/>
  <c r="R44" i="8"/>
  <c r="R45" i="8"/>
  <c r="AH45" i="8"/>
  <c r="H44" i="8"/>
  <c r="M44" i="8"/>
  <c r="G123" i="21"/>
  <c r="G125" i="21" s="1"/>
  <c r="E12" i="9"/>
  <c r="E16" i="9" s="1"/>
  <c r="AH44" i="8"/>
  <c r="AI45" i="8" s="1"/>
  <c r="B59" i="15"/>
  <c r="B60" i="15" s="1"/>
  <c r="E15" i="9" s="1"/>
  <c r="B56" i="15"/>
  <c r="B55" i="15" s="1"/>
  <c r="B6" i="15" l="1"/>
  <c r="B8" i="15" s="1"/>
  <c r="B10" i="15" s="1"/>
  <c r="E11" i="9" s="1"/>
  <c r="G6" i="21"/>
  <c r="G10" i="21"/>
  <c r="F111" i="21"/>
  <c r="Z111" i="21" s="1"/>
  <c r="AD111" i="21" s="1"/>
  <c r="F54" i="21"/>
  <c r="Z54" i="21" s="1"/>
  <c r="AD54" i="21" s="1"/>
  <c r="F77" i="21"/>
  <c r="Z77" i="21" s="1"/>
  <c r="AD77" i="21" s="1"/>
  <c r="F11" i="21"/>
  <c r="Z11" i="21" s="1"/>
  <c r="AD11" i="21" s="1"/>
  <c r="F61" i="21"/>
  <c r="Z61" i="21" s="1"/>
  <c r="AD61" i="21" s="1"/>
  <c r="F30" i="21"/>
  <c r="Z30" i="21" s="1"/>
  <c r="AD30" i="21" s="1"/>
  <c r="F57" i="21"/>
  <c r="Z57" i="21" s="1"/>
  <c r="AD57" i="21" s="1"/>
  <c r="F43" i="21"/>
  <c r="Z43" i="21" s="1"/>
  <c r="AD43" i="21" s="1"/>
  <c r="F21" i="21"/>
  <c r="Z21" i="21" s="1"/>
  <c r="AD21" i="21" s="1"/>
  <c r="F47" i="21"/>
  <c r="Z47" i="21" s="1"/>
  <c r="AD47" i="21" s="1"/>
  <c r="F50" i="21"/>
  <c r="Z50" i="21" s="1"/>
  <c r="AD50" i="21" s="1"/>
  <c r="F55" i="21"/>
  <c r="Z55" i="21" s="1"/>
  <c r="AD55" i="21" s="1"/>
  <c r="F46" i="21"/>
  <c r="Z46" i="21" s="1"/>
  <c r="AD46" i="21" s="1"/>
  <c r="F48" i="21"/>
  <c r="Z48" i="21" s="1"/>
  <c r="AD48" i="21" s="1"/>
  <c r="F41" i="21"/>
  <c r="Z41" i="21" s="1"/>
  <c r="AD41" i="21" s="1"/>
  <c r="F115" i="21"/>
  <c r="Z115" i="21" s="1"/>
  <c r="F37" i="21"/>
  <c r="Z37" i="21" s="1"/>
  <c r="AD37" i="21" s="1"/>
  <c r="F17" i="21"/>
  <c r="F85" i="21"/>
  <c r="Z85" i="21" s="1"/>
  <c r="AD85" i="21" s="1"/>
  <c r="F72" i="21"/>
  <c r="Z72" i="21" s="1"/>
  <c r="AD72" i="21" s="1"/>
  <c r="F119" i="21"/>
  <c r="Z119" i="21" s="1"/>
  <c r="F93" i="21"/>
  <c r="Z93" i="21" s="1"/>
  <c r="AD93" i="21" s="1"/>
  <c r="F52" i="21"/>
  <c r="Z52" i="21" s="1"/>
  <c r="AD52" i="21" s="1"/>
  <c r="F28" i="21"/>
  <c r="Z28" i="21" s="1"/>
  <c r="F31" i="21"/>
  <c r="Z31" i="21" s="1"/>
  <c r="F8" i="21"/>
  <c r="Z8" i="21" s="1"/>
  <c r="AD8" i="21" s="1"/>
  <c r="F49" i="21"/>
  <c r="Z49" i="21" s="1"/>
  <c r="AD49" i="21" s="1"/>
  <c r="F64" i="21"/>
  <c r="Z64" i="21" s="1"/>
  <c r="AD64" i="21" s="1"/>
  <c r="F101" i="21"/>
  <c r="Z101" i="21" s="1"/>
  <c r="F76" i="21"/>
  <c r="Z76" i="21" s="1"/>
  <c r="AD76" i="21" s="1"/>
  <c r="F39" i="21"/>
  <c r="Z39" i="21" s="1"/>
  <c r="F63" i="21"/>
  <c r="Z63" i="21" s="1"/>
  <c r="AD63" i="21" s="1"/>
  <c r="F107" i="21"/>
  <c r="Z107" i="21" s="1"/>
  <c r="AD107" i="21" s="1"/>
  <c r="F32" i="21"/>
  <c r="Z32" i="21" s="1"/>
  <c r="AD32" i="21" s="1"/>
  <c r="F75" i="21"/>
  <c r="Z75" i="21" s="1"/>
  <c r="AD75" i="21" s="1"/>
  <c r="F89" i="21"/>
  <c r="Z89" i="21" s="1"/>
  <c r="AD89" i="21" s="1"/>
  <c r="F27" i="21"/>
  <c r="Z27" i="21" s="1"/>
  <c r="AD27" i="21" s="1"/>
  <c r="F38" i="21"/>
  <c r="Z38" i="21" s="1"/>
  <c r="AD38" i="21" s="1"/>
  <c r="F95" i="21"/>
  <c r="Z95" i="21" s="1"/>
  <c r="AD95" i="21" s="1"/>
  <c r="F26" i="21"/>
  <c r="Z26" i="21" s="1"/>
  <c r="AD26" i="21" s="1"/>
  <c r="F84" i="21"/>
  <c r="Z84" i="21" s="1"/>
  <c r="AD84" i="21" s="1"/>
  <c r="F73" i="21"/>
  <c r="Z73" i="21" s="1"/>
  <c r="AD73" i="21" s="1"/>
  <c r="F80" i="21"/>
  <c r="Z80" i="21" s="1"/>
  <c r="AD80" i="21" s="1"/>
  <c r="F68" i="21"/>
  <c r="Z68" i="21" s="1"/>
  <c r="AD68" i="21" s="1"/>
  <c r="F106" i="21"/>
  <c r="Z106" i="21" s="1"/>
  <c r="AD106" i="21" s="1"/>
  <c r="F102" i="21"/>
  <c r="Z102" i="21" s="1"/>
  <c r="F65" i="21"/>
  <c r="Z65" i="21" s="1"/>
  <c r="AD65" i="21" s="1"/>
  <c r="F6" i="21"/>
  <c r="Z6" i="21" s="1"/>
  <c r="AD6" i="21" s="1"/>
  <c r="F51" i="21"/>
  <c r="Z51" i="21" s="1"/>
  <c r="AD51" i="21" s="1"/>
  <c r="F118" i="21"/>
  <c r="Z118" i="21" s="1"/>
  <c r="E44" i="8"/>
  <c r="AG45" i="8" s="1"/>
  <c r="S46" i="8"/>
  <c r="S44" i="8"/>
  <c r="S45" i="8"/>
  <c r="G98" i="21" l="1"/>
  <c r="G37" i="21"/>
  <c r="G31" i="21"/>
  <c r="AA31" i="21" s="1"/>
  <c r="F116" i="21"/>
  <c r="Z116" i="21" s="1"/>
  <c r="G46" i="21"/>
  <c r="F78" i="21"/>
  <c r="Z78" i="21" s="1"/>
  <c r="AD78" i="21" s="1"/>
  <c r="F7" i="21"/>
  <c r="Z7" i="21" s="1"/>
  <c r="AD7" i="21" s="1"/>
  <c r="F5" i="21"/>
  <c r="Z5" i="21" s="1"/>
  <c r="AD5" i="21" s="1"/>
  <c r="F42" i="21"/>
  <c r="Z42" i="21" s="1"/>
  <c r="AD42" i="21" s="1"/>
  <c r="G91" i="21"/>
  <c r="F53" i="21"/>
  <c r="Z53" i="21" s="1"/>
  <c r="AD53" i="21" s="1"/>
  <c r="F74" i="21"/>
  <c r="Z74" i="21" s="1"/>
  <c r="AD74" i="21" s="1"/>
  <c r="G66" i="21"/>
  <c r="F104" i="21"/>
  <c r="Z104" i="21" s="1"/>
  <c r="F12" i="21"/>
  <c r="Z12" i="21" s="1"/>
  <c r="AD12" i="21" s="1"/>
  <c r="G95" i="21"/>
  <c r="F112" i="21"/>
  <c r="Z112" i="21" s="1"/>
  <c r="AD112" i="21" s="1"/>
  <c r="F56" i="21"/>
  <c r="Z56" i="21" s="1"/>
  <c r="AD56" i="21" s="1"/>
  <c r="G60" i="21"/>
  <c r="F10" i="21"/>
  <c r="Z10" i="21" s="1"/>
  <c r="AD10" i="21" s="1"/>
  <c r="G54" i="21"/>
  <c r="G59" i="21"/>
  <c r="F79" i="21"/>
  <c r="Z79" i="21" s="1"/>
  <c r="AD79" i="21" s="1"/>
  <c r="F67" i="21"/>
  <c r="Z67" i="21" s="1"/>
  <c r="AD67" i="21" s="1"/>
  <c r="G71" i="21"/>
  <c r="G4" i="21"/>
  <c r="AA4" i="21" s="1"/>
  <c r="AD4" i="21" s="1"/>
  <c r="G58" i="21"/>
  <c r="G69" i="21"/>
  <c r="G24" i="21"/>
  <c r="G75" i="21"/>
  <c r="G96" i="21"/>
  <c r="G116" i="21"/>
  <c r="G112" i="21"/>
  <c r="G77" i="21"/>
  <c r="G64" i="21"/>
  <c r="G40" i="21"/>
  <c r="G110" i="21"/>
  <c r="G25" i="21"/>
  <c r="G47" i="21"/>
  <c r="G26" i="21"/>
  <c r="G42" i="21"/>
  <c r="G89" i="21"/>
  <c r="G94" i="21"/>
  <c r="G93" i="21"/>
  <c r="G39" i="21"/>
  <c r="AA39" i="21" s="1"/>
  <c r="AD39" i="21" s="1"/>
  <c r="G68" i="21"/>
  <c r="G102" i="21"/>
  <c r="AA102" i="21" s="1"/>
  <c r="AD102" i="21" s="1"/>
  <c r="G11" i="21"/>
  <c r="G106" i="21"/>
  <c r="G67" i="21"/>
  <c r="G86" i="21"/>
  <c r="G53" i="21"/>
  <c r="G117" i="21"/>
  <c r="G17" i="21"/>
  <c r="G90" i="21"/>
  <c r="G73" i="21"/>
  <c r="G41" i="21"/>
  <c r="G14" i="21"/>
  <c r="AA14" i="21" s="1"/>
  <c r="AD14" i="21" s="1"/>
  <c r="AF14" i="21" s="1"/>
  <c r="G70" i="21"/>
  <c r="G57" i="21"/>
  <c r="G63" i="21"/>
  <c r="G49" i="21"/>
  <c r="G103" i="21"/>
  <c r="G62" i="21"/>
  <c r="G36" i="21"/>
  <c r="G33" i="21"/>
  <c r="F40" i="21"/>
  <c r="Z40" i="21" s="1"/>
  <c r="AD40" i="21" s="1"/>
  <c r="G115" i="21"/>
  <c r="AA115" i="21" s="1"/>
  <c r="AD115" i="21" s="1"/>
  <c r="G43" i="21"/>
  <c r="G7" i="21"/>
  <c r="G119" i="21"/>
  <c r="G78" i="21"/>
  <c r="G111" i="21"/>
  <c r="G30" i="21"/>
  <c r="G5" i="21"/>
  <c r="G22" i="21"/>
  <c r="G101" i="21"/>
  <c r="AA101" i="21" s="1"/>
  <c r="AD101" i="21" s="1"/>
  <c r="G80" i="21"/>
  <c r="F71" i="21"/>
  <c r="Z71" i="21" s="1"/>
  <c r="AD71" i="21" s="1"/>
  <c r="F22" i="21"/>
  <c r="Z22" i="21" s="1"/>
  <c r="AD22" i="21" s="1"/>
  <c r="F36" i="21"/>
  <c r="Z36" i="21" s="1"/>
  <c r="AD36" i="21" s="1"/>
  <c r="G79" i="21"/>
  <c r="G104" i="21"/>
  <c r="AA104" i="21" s="1"/>
  <c r="G118" i="21"/>
  <c r="G61" i="21"/>
  <c r="G56" i="21"/>
  <c r="G74" i="21"/>
  <c r="G107" i="21"/>
  <c r="G34" i="21"/>
  <c r="G29" i="21"/>
  <c r="G38" i="21"/>
  <c r="F81" i="21"/>
  <c r="Z81" i="21" s="1"/>
  <c r="AD81" i="21" s="1"/>
  <c r="F66" i="21"/>
  <c r="Z66" i="21" s="1"/>
  <c r="AD66" i="21" s="1"/>
  <c r="F60" i="21"/>
  <c r="Z60" i="21" s="1"/>
  <c r="AD60" i="21" s="1"/>
  <c r="G105" i="21"/>
  <c r="G18" i="21"/>
  <c r="G8" i="21"/>
  <c r="G72" i="21"/>
  <c r="G9" i="21"/>
  <c r="AA9" i="21" s="1"/>
  <c r="AD9" i="21" s="1"/>
  <c r="AF9" i="21" s="1"/>
  <c r="G84" i="21"/>
  <c r="G65" i="21"/>
  <c r="G109" i="21"/>
  <c r="G21" i="21"/>
  <c r="G35" i="21"/>
  <c r="G85" i="21"/>
  <c r="G81" i="21"/>
  <c r="G50" i="21"/>
  <c r="G55" i="21"/>
  <c r="G12" i="21"/>
  <c r="AD31" i="21"/>
  <c r="AC17" i="21"/>
  <c r="Z17" i="21"/>
  <c r="AD17" i="21" s="1"/>
  <c r="G108" i="21"/>
  <c r="G76" i="21"/>
  <c r="G52" i="21"/>
  <c r="G51" i="21"/>
  <c r="G92" i="21"/>
  <c r="G32" i="21"/>
  <c r="G28" i="21"/>
  <c r="AA28" i="21" s="1"/>
  <c r="AD28" i="21" s="1"/>
  <c r="G48" i="21"/>
  <c r="G23" i="21"/>
  <c r="G97" i="21"/>
  <c r="G27" i="21"/>
  <c r="AC80" i="21"/>
  <c r="AC112" i="21"/>
  <c r="AC73" i="21"/>
  <c r="AC8" i="21"/>
  <c r="AC47" i="21"/>
  <c r="AC118" i="21"/>
  <c r="AD118" i="21"/>
  <c r="AC32" i="21"/>
  <c r="AC51" i="21"/>
  <c r="AC84" i="21"/>
  <c r="AC107" i="21"/>
  <c r="AC31" i="21"/>
  <c r="AC37" i="21"/>
  <c r="AC21" i="21"/>
  <c r="AC61" i="21"/>
  <c r="AC75" i="21"/>
  <c r="AC10" i="21"/>
  <c r="AC63" i="21"/>
  <c r="AC115" i="21"/>
  <c r="AC78" i="21"/>
  <c r="AC11" i="21"/>
  <c r="AC74" i="21"/>
  <c r="AC49" i="21"/>
  <c r="AC6" i="21"/>
  <c r="AC95" i="21"/>
  <c r="AC41" i="21"/>
  <c r="AC50" i="21"/>
  <c r="AC52" i="21"/>
  <c r="AC102" i="21"/>
  <c r="AC93" i="21"/>
  <c r="AC57" i="21"/>
  <c r="AH46" i="8"/>
  <c r="E45" i="8"/>
  <c r="AC77" i="21"/>
  <c r="AC28" i="21"/>
  <c r="AC39" i="21"/>
  <c r="AC76" i="21"/>
  <c r="AC106" i="21"/>
  <c r="AC119" i="21"/>
  <c r="AD119" i="21"/>
  <c r="AC30" i="21"/>
  <c r="AC54" i="21"/>
  <c r="AC111" i="21"/>
  <c r="AC85" i="21"/>
  <c r="AC26" i="21"/>
  <c r="AC65" i="21"/>
  <c r="AC43" i="21"/>
  <c r="AC38" i="21"/>
  <c r="AC48" i="21"/>
  <c r="AC27" i="21"/>
  <c r="AC101" i="21"/>
  <c r="AC46" i="21"/>
  <c r="AD116" i="21"/>
  <c r="AC116" i="21"/>
  <c r="T44" i="8"/>
  <c r="B44" i="8" s="1"/>
  <c r="AC68" i="21"/>
  <c r="AC89" i="21"/>
  <c r="AC64" i="21"/>
  <c r="AC72" i="21"/>
  <c r="AC55" i="21"/>
  <c r="AC42" i="21"/>
  <c r="AC104" i="21"/>
  <c r="AC12" i="21" l="1"/>
  <c r="AC53" i="21"/>
  <c r="AD104" i="21"/>
  <c r="AC7" i="21"/>
  <c r="AC67" i="21"/>
  <c r="AC5" i="21"/>
  <c r="AC56" i="21"/>
  <c r="AB14" i="21"/>
  <c r="AC79" i="21"/>
  <c r="AC71" i="21"/>
  <c r="AC36" i="21"/>
  <c r="AC66" i="21"/>
  <c r="AC60" i="21"/>
  <c r="AC40" i="21"/>
  <c r="AC81" i="21"/>
  <c r="AB9" i="21"/>
  <c r="AC22" i="21"/>
  <c r="E38" i="9"/>
  <c r="E40" i="9" s="1"/>
  <c r="AB17" i="21"/>
  <c r="AB8" i="21"/>
  <c r="AB6" i="21"/>
  <c r="AB5" i="21"/>
  <c r="AB12" i="21"/>
  <c r="AB7" i="21"/>
  <c r="AB11" i="21"/>
  <c r="AF11" i="21"/>
  <c r="AB4" i="21"/>
  <c r="AF4" i="21"/>
  <c r="E17" i="9"/>
  <c r="AB10" i="21"/>
  <c r="AG10" i="21"/>
  <c r="D44" i="8"/>
  <c r="O45" i="8" s="1"/>
  <c r="N45" i="8" s="1"/>
  <c r="AB63" i="21"/>
  <c r="AG63" i="21"/>
  <c r="AF63" i="21"/>
  <c r="AF8" i="21"/>
  <c r="AB55" i="21"/>
  <c r="AF55" i="21"/>
  <c r="AG66" i="21"/>
  <c r="AB66" i="21"/>
  <c r="AF66" i="21"/>
  <c r="C44" i="9"/>
  <c r="AG68" i="21"/>
  <c r="AB68" i="21"/>
  <c r="AF68" i="21"/>
  <c r="AB119" i="21"/>
  <c r="AF119" i="21"/>
  <c r="AB71" i="21"/>
  <c r="AF71" i="21"/>
  <c r="AG71" i="21"/>
  <c r="AF32" i="21"/>
  <c r="AB32" i="21"/>
  <c r="AB46" i="21"/>
  <c r="AG46" i="21"/>
  <c r="AF46" i="21"/>
  <c r="AF118" i="21"/>
  <c r="AB118" i="21"/>
  <c r="AB26" i="21"/>
  <c r="AF26" i="21"/>
  <c r="AG46" i="8"/>
  <c r="AF50" i="21"/>
  <c r="AB50" i="21"/>
  <c r="AB41" i="21"/>
  <c r="AF41" i="21"/>
  <c r="AF73" i="21"/>
  <c r="AB73" i="21"/>
  <c r="AF7" i="21"/>
  <c r="AG7" i="21"/>
  <c r="AF48" i="21"/>
  <c r="AB48" i="21"/>
  <c r="AB61" i="21"/>
  <c r="AF61" i="21"/>
  <c r="AB111" i="21"/>
  <c r="AF111" i="21"/>
  <c r="AB39" i="21"/>
  <c r="AF39" i="21"/>
  <c r="AB57" i="21"/>
  <c r="AF57" i="21"/>
  <c r="AF72" i="21"/>
  <c r="AG72" i="21"/>
  <c r="AB72" i="21"/>
  <c r="AB38" i="21"/>
  <c r="AF38" i="21"/>
  <c r="AB85" i="21"/>
  <c r="AF85" i="21"/>
  <c r="AF49" i="21"/>
  <c r="AB49" i="21"/>
  <c r="AB78" i="21"/>
  <c r="AF78" i="21"/>
  <c r="AG75" i="21"/>
  <c r="AB75" i="21"/>
  <c r="AF75" i="21"/>
  <c r="AF21" i="21"/>
  <c r="AB21" i="21"/>
  <c r="AF47" i="21"/>
  <c r="AB47" i="21"/>
  <c r="AG47" i="21"/>
  <c r="AF112" i="21"/>
  <c r="AB112" i="21"/>
  <c r="AB52" i="21"/>
  <c r="AF52" i="21"/>
  <c r="AF12" i="21"/>
  <c r="AB104" i="21"/>
  <c r="AF104" i="21"/>
  <c r="AB53" i="21"/>
  <c r="AF53" i="21"/>
  <c r="AB101" i="21"/>
  <c r="AF101" i="21"/>
  <c r="AF54" i="21"/>
  <c r="AB54" i="21"/>
  <c r="AB81" i="21"/>
  <c r="AF81" i="21"/>
  <c r="AF28" i="21"/>
  <c r="AB28" i="21"/>
  <c r="AB93" i="21"/>
  <c r="AF93" i="21"/>
  <c r="AB36" i="21"/>
  <c r="AF36" i="21"/>
  <c r="AF84" i="21"/>
  <c r="AB84" i="21"/>
  <c r="AB65" i="21"/>
  <c r="AG65" i="21"/>
  <c r="AF65" i="21"/>
  <c r="AB77" i="21"/>
  <c r="AF77" i="21"/>
  <c r="AF107" i="21"/>
  <c r="AB107" i="21"/>
  <c r="AB42" i="21"/>
  <c r="AF42" i="21"/>
  <c r="AB79" i="21"/>
  <c r="AF79" i="21"/>
  <c r="AB27" i="21"/>
  <c r="AF27" i="21"/>
  <c r="AF43" i="21"/>
  <c r="AG43" i="21"/>
  <c r="AB43" i="21"/>
  <c r="AF95" i="21"/>
  <c r="AB95" i="21"/>
  <c r="AG74" i="21"/>
  <c r="AB74" i="21"/>
  <c r="AF74" i="21"/>
  <c r="AB115" i="21"/>
  <c r="AF115" i="21"/>
  <c r="AB67" i="21"/>
  <c r="AF67" i="21"/>
  <c r="AB37" i="21"/>
  <c r="AF37" i="21"/>
  <c r="AB51" i="21"/>
  <c r="AF51" i="21"/>
  <c r="AF40" i="21"/>
  <c r="AB40" i="21"/>
  <c r="AF17" i="21"/>
  <c r="AG56" i="21"/>
  <c r="AB56" i="21"/>
  <c r="AF56" i="21"/>
  <c r="AF31" i="21"/>
  <c r="AB31" i="21"/>
  <c r="AB116" i="21"/>
  <c r="AF116" i="21"/>
  <c r="AF10" i="21"/>
  <c r="AF106" i="21"/>
  <c r="AB106" i="21"/>
  <c r="AB64" i="21"/>
  <c r="AF64" i="21"/>
  <c r="AF5" i="21"/>
  <c r="AG5" i="21"/>
  <c r="C43" i="9"/>
  <c r="AF89" i="21"/>
  <c r="AB89" i="21"/>
  <c r="AB30" i="21"/>
  <c r="AF30" i="21"/>
  <c r="AB76" i="21"/>
  <c r="AF76" i="21"/>
  <c r="AB60" i="21"/>
  <c r="AF60" i="21"/>
  <c r="AF102" i="21"/>
  <c r="AB102" i="21"/>
  <c r="AB22" i="21"/>
  <c r="AG22" i="21"/>
  <c r="AF22" i="21"/>
  <c r="AG6" i="21"/>
  <c r="AF6" i="21"/>
  <c r="AF80" i="21"/>
  <c r="AB80" i="21"/>
  <c r="C47" i="9" l="1"/>
  <c r="M45" i="8"/>
  <c r="H45" i="8"/>
  <c r="U45" i="8" s="1"/>
  <c r="F44" i="8"/>
  <c r="G45" i="8" s="1"/>
  <c r="AL46" i="8" s="1"/>
  <c r="C45" i="9"/>
  <c r="I6" i="18" s="1"/>
  <c r="I7" i="18" s="1"/>
  <c r="P46" i="8"/>
  <c r="Q47" i="8" s="1"/>
  <c r="C15" i="13"/>
  <c r="C50" i="9"/>
  <c r="AH47" i="8"/>
  <c r="D23" i="18"/>
  <c r="L19" i="18" l="1"/>
  <c r="P7" i="18"/>
  <c r="I13" i="18"/>
  <c r="B18" i="33"/>
  <c r="B17" i="33"/>
  <c r="T45" i="8"/>
  <c r="V45" i="8"/>
  <c r="W45" i="8"/>
  <c r="D7" i="9"/>
  <c r="D8" i="9" s="1"/>
  <c r="AI46" i="8"/>
  <c r="AJ46" i="8"/>
  <c r="AM46" i="8"/>
  <c r="AO46" i="8"/>
  <c r="AN46" i="8"/>
  <c r="AK46" i="8"/>
  <c r="D45" i="9"/>
  <c r="C17" i="13"/>
  <c r="C16" i="13"/>
  <c r="R48" i="8"/>
  <c r="S49" i="8" s="1"/>
  <c r="J45" i="8" l="1"/>
  <c r="K45" i="8" s="1"/>
  <c r="D18" i="33"/>
  <c r="B22" i="33"/>
  <c r="D45" i="8"/>
  <c r="H46" i="8" s="1"/>
  <c r="B45" i="8"/>
  <c r="E46" i="8"/>
  <c r="AG47" i="8" s="1"/>
  <c r="AH48" i="8" s="1"/>
  <c r="D22" i="18"/>
  <c r="M46" i="8" l="1"/>
  <c r="F45" i="8"/>
  <c r="G46" i="8" s="1"/>
  <c r="AO47" i="8" s="1"/>
  <c r="O46" i="8"/>
  <c r="L45" i="8"/>
  <c r="T46" i="8"/>
  <c r="V46" i="8"/>
  <c r="U46" i="8"/>
  <c r="W46" i="8"/>
  <c r="AL47" i="8" l="1"/>
  <c r="AM47" i="8"/>
  <c r="AN47" i="8"/>
  <c r="P47" i="8"/>
  <c r="Q48" i="8" s="1"/>
  <c r="R49" i="8" s="1"/>
  <c r="S50" i="8" s="1"/>
  <c r="N46" i="8"/>
  <c r="B46" i="8" s="1"/>
  <c r="AK47" i="8"/>
  <c r="AI47" i="8"/>
  <c r="AJ47" i="8"/>
  <c r="D46" i="8"/>
  <c r="J46" i="8"/>
  <c r="K46" i="8" l="1"/>
  <c r="E47" i="8"/>
  <c r="AG48" i="8" s="1"/>
  <c r="L46" i="8"/>
  <c r="M47" i="8"/>
  <c r="H47" i="8"/>
  <c r="O47" i="8"/>
  <c r="N47" i="8" s="1"/>
  <c r="F46" i="8"/>
  <c r="G47" i="8" s="1"/>
  <c r="AH49" i="8" l="1"/>
  <c r="AI48" i="8"/>
  <c r="AL48" i="8"/>
  <c r="AN48" i="8"/>
  <c r="AM48" i="8"/>
  <c r="AK48" i="8"/>
  <c r="AJ48" i="8"/>
  <c r="AO48" i="8"/>
  <c r="T47" i="8"/>
  <c r="U47" i="8"/>
  <c r="V47" i="8"/>
  <c r="W47" i="8"/>
  <c r="P48" i="8"/>
  <c r="Q49" i="8" s="1"/>
  <c r="B47" i="8" l="1"/>
  <c r="D47" i="8"/>
  <c r="J47" i="8"/>
  <c r="K47" i="8" s="1"/>
  <c r="R50" i="8"/>
  <c r="S51" i="8" s="1"/>
  <c r="E48" i="8"/>
  <c r="AG49" i="8" l="1"/>
  <c r="L47" i="8"/>
  <c r="M48" i="8"/>
  <c r="H48" i="8"/>
  <c r="O48" i="8"/>
  <c r="N48" i="8" s="1"/>
  <c r="F47" i="8"/>
  <c r="G48" i="8" s="1"/>
  <c r="T48" i="8" l="1"/>
  <c r="V48" i="8"/>
  <c r="U48" i="8"/>
  <c r="W48" i="8"/>
  <c r="AI49" i="8"/>
  <c r="AM49" i="8"/>
  <c r="AJ49" i="8"/>
  <c r="AO49" i="8"/>
  <c r="AN49" i="8"/>
  <c r="AK49" i="8"/>
  <c r="AL49" i="8"/>
  <c r="P49" i="8"/>
  <c r="Q50" i="8" s="1"/>
  <c r="AH50" i="8"/>
  <c r="B48" i="8" l="1"/>
  <c r="R51" i="8"/>
  <c r="S52" i="8" s="1"/>
  <c r="D48" i="8"/>
  <c r="J48" i="8"/>
  <c r="K48" i="8" s="1"/>
  <c r="E49" i="8"/>
  <c r="M49" i="8" l="1"/>
  <c r="H49" i="8"/>
  <c r="L48" i="8"/>
  <c r="O49" i="8"/>
  <c r="N49" i="8" s="1"/>
  <c r="F48" i="8"/>
  <c r="G49" i="8" s="1"/>
  <c r="AG50" i="8"/>
  <c r="P50" i="8" l="1"/>
  <c r="Q51" i="8" s="1"/>
  <c r="T49" i="8"/>
  <c r="V49" i="8"/>
  <c r="W49" i="8"/>
  <c r="U49" i="8"/>
  <c r="AH51" i="8"/>
  <c r="AI50" i="8"/>
  <c r="AN50" i="8"/>
  <c r="AM50" i="8"/>
  <c r="AL50" i="8"/>
  <c r="AO50" i="8"/>
  <c r="AJ50" i="8"/>
  <c r="AK50" i="8"/>
  <c r="B49" i="8" l="1"/>
  <c r="E50" i="8"/>
  <c r="R52" i="8"/>
  <c r="S53" i="8" s="1"/>
  <c r="D49" i="8"/>
  <c r="J49" i="8"/>
  <c r="K49" i="8" s="1"/>
  <c r="H50" i="8" l="1"/>
  <c r="L49" i="8"/>
  <c r="M50" i="8"/>
  <c r="O50" i="8"/>
  <c r="N50" i="8" s="1"/>
  <c r="F49" i="8"/>
  <c r="G50" i="8" s="1"/>
  <c r="AG51" i="8"/>
  <c r="AI51" i="8" l="1"/>
  <c r="AM51" i="8"/>
  <c r="AN51" i="8"/>
  <c r="AJ51" i="8"/>
  <c r="AL51" i="8"/>
  <c r="AO51" i="8"/>
  <c r="AK51" i="8"/>
  <c r="P51" i="8"/>
  <c r="Q52" i="8" s="1"/>
  <c r="AH52" i="8"/>
  <c r="T50" i="8"/>
  <c r="V50" i="8"/>
  <c r="W50" i="8"/>
  <c r="U50" i="8"/>
  <c r="E51" i="8" l="1"/>
  <c r="R53" i="8"/>
  <c r="S54" i="8" s="1"/>
  <c r="D50" i="8"/>
  <c r="J50" i="8"/>
  <c r="K50" i="8" s="1"/>
  <c r="B50" i="8"/>
  <c r="L50" i="8" l="1"/>
  <c r="H51" i="8"/>
  <c r="M51" i="8"/>
  <c r="O51" i="8"/>
  <c r="N51" i="8" s="1"/>
  <c r="F50" i="8"/>
  <c r="G51" i="8" s="1"/>
  <c r="AG52" i="8"/>
  <c r="P52" i="8" l="1"/>
  <c r="Q53" i="8" s="1"/>
  <c r="AH53" i="8"/>
  <c r="AI52" i="8"/>
  <c r="AL52" i="8"/>
  <c r="AO52" i="8"/>
  <c r="AJ52" i="8"/>
  <c r="AK52" i="8"/>
  <c r="AM52" i="8"/>
  <c r="AN52" i="8"/>
  <c r="T51" i="8"/>
  <c r="W51" i="8"/>
  <c r="U51" i="8"/>
  <c r="V51" i="8"/>
  <c r="B51" i="8" l="1"/>
  <c r="R54" i="8"/>
  <c r="S55" i="8" s="1"/>
  <c r="D51" i="8"/>
  <c r="J51" i="8"/>
  <c r="K51" i="8" s="1"/>
  <c r="E52" i="8"/>
  <c r="AG53" i="8" l="1"/>
  <c r="H52" i="8"/>
  <c r="L51" i="8"/>
  <c r="M52" i="8"/>
  <c r="O52" i="8"/>
  <c r="N52" i="8" s="1"/>
  <c r="F51" i="8"/>
  <c r="G52" i="8" s="1"/>
  <c r="T52" i="8" l="1"/>
  <c r="U52" i="8"/>
  <c r="W52" i="8"/>
  <c r="V52" i="8"/>
  <c r="P53" i="8"/>
  <c r="Q54" i="8" s="1"/>
  <c r="AI53" i="8"/>
  <c r="AK53" i="8"/>
  <c r="AO53" i="8"/>
  <c r="AN53" i="8"/>
  <c r="AL53" i="8"/>
  <c r="AJ53" i="8"/>
  <c r="AM53" i="8"/>
  <c r="AH54" i="8"/>
  <c r="B52" i="8" l="1"/>
  <c r="D7" i="24"/>
  <c r="E53" i="8"/>
  <c r="R55" i="8"/>
  <c r="S56" i="8" s="1"/>
  <c r="D52" i="8"/>
  <c r="J52" i="8"/>
  <c r="K52" i="8" s="1"/>
  <c r="AG54" i="8" l="1"/>
  <c r="L52" i="8"/>
  <c r="H53" i="8"/>
  <c r="M53" i="8"/>
  <c r="O53" i="8"/>
  <c r="F52" i="8"/>
  <c r="G53" i="8" s="1"/>
  <c r="T53" i="8" l="1"/>
  <c r="W53" i="8"/>
  <c r="V53" i="8"/>
  <c r="U53" i="8"/>
  <c r="AH55" i="8"/>
  <c r="D8" i="24"/>
  <c r="AI54" i="8"/>
  <c r="AK54" i="8"/>
  <c r="AO54" i="8"/>
  <c r="AJ54" i="8"/>
  <c r="AL54" i="8"/>
  <c r="AN54" i="8"/>
  <c r="AM54" i="8"/>
  <c r="D6" i="24"/>
  <c r="P54" i="8"/>
  <c r="Q55" i="8" s="1"/>
  <c r="N53" i="8"/>
  <c r="B53" i="8" l="1"/>
  <c r="E54" i="8"/>
  <c r="AG55" i="8" s="1"/>
  <c r="D9" i="24"/>
  <c r="D5" i="24"/>
  <c r="R56" i="8"/>
  <c r="S57" i="8" s="1"/>
  <c r="D53" i="8"/>
  <c r="J53" i="8"/>
  <c r="K53" i="8" s="1"/>
  <c r="L53" i="8" l="1"/>
  <c r="H54" i="8"/>
  <c r="M54" i="8"/>
  <c r="O54" i="8"/>
  <c r="N54" i="8" s="1"/>
  <c r="F53" i="8"/>
  <c r="G54" i="8" s="1"/>
  <c r="AH56" i="8"/>
  <c r="AI55" i="8" l="1"/>
  <c r="AL55" i="8"/>
  <c r="AK55" i="8"/>
  <c r="AM55" i="8"/>
  <c r="AN55" i="8"/>
  <c r="AO55" i="8"/>
  <c r="AJ55" i="8"/>
  <c r="J128" i="21"/>
  <c r="G128" i="21" s="1"/>
  <c r="G126" i="21" s="1"/>
  <c r="S126" i="21" s="1"/>
  <c r="Q126" i="21" s="1"/>
  <c r="P55" i="8"/>
  <c r="Q56" i="8" s="1"/>
  <c r="T54" i="8"/>
  <c r="U54" i="8"/>
  <c r="W54" i="8"/>
  <c r="V54" i="8"/>
  <c r="D26" i="13" l="1"/>
  <c r="B54" i="8"/>
  <c r="R57" i="8"/>
  <c r="S58" i="8" s="1"/>
  <c r="E55" i="8"/>
  <c r="B3" i="1"/>
  <c r="B4" i="1" s="1"/>
  <c r="E33" i="18"/>
  <c r="E35" i="18" s="1"/>
  <c r="D54" i="8"/>
  <c r="J54" i="8"/>
  <c r="K54" i="8" s="1"/>
  <c r="D28" i="13" l="1"/>
  <c r="D27" i="13"/>
  <c r="AG56" i="8"/>
  <c r="L54" i="8"/>
  <c r="H55" i="8"/>
  <c r="M55" i="8"/>
  <c r="O55" i="8"/>
  <c r="N55" i="8" s="1"/>
  <c r="F54" i="8"/>
  <c r="G55" i="8" s="1"/>
  <c r="AI56" i="8" l="1"/>
  <c r="AJ56" i="8"/>
  <c r="AK56" i="8"/>
  <c r="AO56" i="8"/>
  <c r="AN56" i="8"/>
  <c r="AM56" i="8"/>
  <c r="AL56" i="8"/>
  <c r="T55" i="8"/>
  <c r="U55" i="8"/>
  <c r="V55" i="8"/>
  <c r="W55" i="8"/>
  <c r="AH57" i="8"/>
  <c r="P56" i="8"/>
  <c r="Q57" i="8" s="1"/>
  <c r="B55" i="8" l="1"/>
  <c r="E56" i="8"/>
  <c r="R58" i="8"/>
  <c r="S59" i="8" s="1"/>
  <c r="D55" i="8"/>
  <c r="J55" i="8"/>
  <c r="K55" i="8" s="1"/>
  <c r="L55" i="8" l="1"/>
  <c r="H56" i="8"/>
  <c r="M56" i="8"/>
  <c r="O56" i="8"/>
  <c r="N56" i="8" s="1"/>
  <c r="F55" i="8"/>
  <c r="G56" i="8" s="1"/>
  <c r="D31" i="24"/>
  <c r="F31" i="24"/>
  <c r="AG57" i="8"/>
  <c r="D33" i="24"/>
  <c r="E33" i="24" s="1"/>
  <c r="F33" i="24"/>
  <c r="G33" i="24" s="1"/>
  <c r="E31" i="24" l="1"/>
  <c r="D32" i="24"/>
  <c r="E32" i="24" s="1"/>
  <c r="G31" i="24"/>
  <c r="F32" i="24"/>
  <c r="G32" i="24" s="1"/>
  <c r="T56" i="8"/>
  <c r="W56" i="8"/>
  <c r="V56" i="8"/>
  <c r="U56" i="8"/>
  <c r="AI57" i="8"/>
  <c r="AJ57" i="8"/>
  <c r="AL57" i="8"/>
  <c r="AO57" i="8"/>
  <c r="AM57" i="8"/>
  <c r="AN57" i="8"/>
  <c r="AK57" i="8"/>
  <c r="AH58" i="8"/>
  <c r="P57" i="8"/>
  <c r="Q58" i="8" s="1"/>
  <c r="D31" i="27"/>
  <c r="F34" i="24" l="1"/>
  <c r="G34" i="24" s="1"/>
  <c r="F35" i="24"/>
  <c r="G35" i="24" s="1"/>
  <c r="B56" i="8"/>
  <c r="R59" i="8"/>
  <c r="S60" i="8" s="1"/>
  <c r="E57" i="8"/>
  <c r="D34" i="24"/>
  <c r="D56" i="8"/>
  <c r="J56" i="8"/>
  <c r="K56" i="8" s="1"/>
  <c r="AG58" i="8" l="1"/>
  <c r="H57" i="8"/>
  <c r="L56" i="8"/>
  <c r="M57" i="8"/>
  <c r="O57" i="8"/>
  <c r="N57" i="8" s="1"/>
  <c r="F56" i="8"/>
  <c r="G57" i="8" s="1"/>
  <c r="E34" i="24"/>
  <c r="D35" i="24"/>
  <c r="E35" i="24" s="1"/>
  <c r="F30" i="24"/>
  <c r="F11" i="24" s="1"/>
  <c r="F38" i="24" l="1"/>
  <c r="AH59" i="8"/>
  <c r="P58" i="8"/>
  <c r="Q59" i="8" s="1"/>
  <c r="AI58" i="8"/>
  <c r="AL58" i="8"/>
  <c r="AJ58" i="8"/>
  <c r="AN58" i="8"/>
  <c r="AO58" i="8"/>
  <c r="AK58" i="8"/>
  <c r="AM58" i="8"/>
  <c r="T57" i="8"/>
  <c r="W57" i="8"/>
  <c r="U57" i="8"/>
  <c r="V57" i="8"/>
  <c r="D30" i="24"/>
  <c r="D11" i="24" s="1"/>
  <c r="E9" i="24" s="1"/>
  <c r="E58" i="8" l="1"/>
  <c r="AG59" i="8" s="1"/>
  <c r="H3" i="24"/>
  <c r="F42" i="24"/>
  <c r="G42" i="24" s="1"/>
  <c r="F43" i="24"/>
  <c r="G43" i="24" s="1"/>
  <c r="F44" i="24"/>
  <c r="G44" i="24" s="1"/>
  <c r="F39" i="24"/>
  <c r="F41" i="24"/>
  <c r="G41" i="24" s="1"/>
  <c r="F40" i="24"/>
  <c r="G40" i="24" s="1"/>
  <c r="D57" i="8"/>
  <c r="J57" i="8"/>
  <c r="K57" i="8" s="1"/>
  <c r="B57" i="8"/>
  <c r="R60" i="8"/>
  <c r="S61" i="8" s="1"/>
  <c r="F37" i="24" l="1"/>
  <c r="G39" i="24"/>
  <c r="G38" i="24" s="1"/>
  <c r="F12" i="24" s="1"/>
  <c r="G9" i="24" s="1"/>
  <c r="H58" i="8"/>
  <c r="L57" i="8"/>
  <c r="M58" i="8"/>
  <c r="O58" i="8"/>
  <c r="N58" i="8" s="1"/>
  <c r="F57" i="8"/>
  <c r="G58" i="8" s="1"/>
  <c r="AH60" i="8"/>
  <c r="P59" i="8" l="1"/>
  <c r="Q60" i="8" s="1"/>
  <c r="AI59" i="8"/>
  <c r="AO59" i="8"/>
  <c r="AN59" i="8"/>
  <c r="AJ59" i="8"/>
  <c r="AL59" i="8"/>
  <c r="AK59" i="8"/>
  <c r="AM59" i="8"/>
  <c r="T58" i="8"/>
  <c r="W58" i="8"/>
  <c r="V58" i="8"/>
  <c r="U58" i="8"/>
  <c r="D58" i="8" l="1"/>
  <c r="J58" i="8"/>
  <c r="K58" i="8" s="1"/>
  <c r="R61" i="8"/>
  <c r="S62" i="8" s="1"/>
  <c r="E59" i="8"/>
  <c r="B58" i="8"/>
  <c r="AG60" i="8" l="1"/>
  <c r="D26" i="8"/>
  <c r="D27" i="8"/>
  <c r="L58" i="8"/>
  <c r="H59" i="8"/>
  <c r="M59" i="8"/>
  <c r="O59" i="8"/>
  <c r="N59" i="8" s="1"/>
  <c r="F58" i="8"/>
  <c r="G59" i="8" s="1"/>
  <c r="AI60" i="8" l="1"/>
  <c r="AK60" i="8"/>
  <c r="AL60" i="8"/>
  <c r="AO60" i="8"/>
  <c r="AJ60" i="8"/>
  <c r="AN60" i="8"/>
  <c r="AM60" i="8"/>
  <c r="P60" i="8"/>
  <c r="Q61" i="8" s="1"/>
  <c r="AH61" i="8"/>
  <c r="T59" i="8"/>
  <c r="W59" i="8"/>
  <c r="V59" i="8"/>
  <c r="U59" i="8"/>
  <c r="E60" i="8" l="1"/>
  <c r="AG61" i="8" s="1"/>
  <c r="B59" i="8"/>
  <c r="R62" i="8"/>
  <c r="S63" i="8" s="1"/>
  <c r="D59" i="8"/>
  <c r="J59" i="8"/>
  <c r="K59" i="8" s="1"/>
  <c r="AH62" i="8" l="1"/>
  <c r="H60" i="8"/>
  <c r="L59" i="8"/>
  <c r="M60" i="8"/>
  <c r="O60" i="8"/>
  <c r="N60" i="8" s="1"/>
  <c r="F59" i="8"/>
  <c r="G60" i="8" s="1"/>
  <c r="AI61" i="8" l="1"/>
  <c r="AM61" i="8"/>
  <c r="AL61" i="8"/>
  <c r="AN61" i="8"/>
  <c r="AO61" i="8"/>
  <c r="AK61" i="8"/>
  <c r="AJ61" i="8"/>
  <c r="P61" i="8"/>
  <c r="Q62" i="8" s="1"/>
  <c r="T60" i="8"/>
  <c r="U60" i="8"/>
  <c r="V60" i="8"/>
  <c r="W60" i="8"/>
  <c r="D60" i="8" l="1"/>
  <c r="J60" i="8"/>
  <c r="K60" i="8" s="1"/>
  <c r="B60" i="8"/>
  <c r="R63" i="8"/>
  <c r="S64" i="8" s="1"/>
  <c r="E61" i="8"/>
  <c r="AG62" i="8" l="1"/>
  <c r="M61" i="8"/>
  <c r="L60" i="8"/>
  <c r="H61" i="8"/>
  <c r="O61" i="8"/>
  <c r="N61" i="8" s="1"/>
  <c r="F60" i="8"/>
  <c r="G61" i="8" s="1"/>
  <c r="AH63" i="8" l="1"/>
  <c r="T61" i="8"/>
  <c r="U61" i="8"/>
  <c r="W61" i="8"/>
  <c r="V61" i="8"/>
  <c r="AI62" i="8"/>
  <c r="AN62" i="8"/>
  <c r="AJ62" i="8"/>
  <c r="AK62" i="8"/>
  <c r="AO62" i="8"/>
  <c r="AL62" i="8"/>
  <c r="AM62" i="8"/>
  <c r="P62" i="8"/>
  <c r="Q63" i="8" s="1"/>
  <c r="E62" i="8" l="1"/>
  <c r="AG63" i="8" s="1"/>
  <c r="D61" i="8"/>
  <c r="J61" i="8"/>
  <c r="K61" i="8" s="1"/>
  <c r="B61" i="8"/>
  <c r="R64" i="8"/>
  <c r="S65" i="8" s="1"/>
  <c r="AH64" i="8" l="1"/>
  <c r="M62" i="8"/>
  <c r="L61" i="8"/>
  <c r="H62" i="8"/>
  <c r="O62" i="8"/>
  <c r="N62" i="8" s="1"/>
  <c r="F61" i="8"/>
  <c r="G62" i="8" s="1"/>
  <c r="AI63" i="8" l="1"/>
  <c r="AN63" i="8"/>
  <c r="AJ63" i="8"/>
  <c r="AK63" i="8"/>
  <c r="AL63" i="8"/>
  <c r="AO63" i="8"/>
  <c r="AM63" i="8"/>
  <c r="T62" i="8"/>
  <c r="V62" i="8"/>
  <c r="U62" i="8"/>
  <c r="W62" i="8"/>
  <c r="P63" i="8"/>
  <c r="Q64" i="8" s="1"/>
  <c r="D62" i="8" l="1"/>
  <c r="J62" i="8"/>
  <c r="K62" i="8" s="1"/>
  <c r="E63" i="8"/>
  <c r="B62" i="8"/>
  <c r="R65" i="8"/>
  <c r="S66" i="8" s="1"/>
  <c r="L62" i="8" l="1"/>
  <c r="H63" i="8"/>
  <c r="M63" i="8"/>
  <c r="O63" i="8"/>
  <c r="N63" i="8" s="1"/>
  <c r="F62" i="8"/>
  <c r="G63" i="8" s="1"/>
  <c r="AG64" i="8"/>
  <c r="P64" i="8" l="1"/>
  <c r="Q65" i="8" s="1"/>
  <c r="AH65" i="8"/>
  <c r="AI64" i="8"/>
  <c r="AJ64" i="8"/>
  <c r="AO64" i="8"/>
  <c r="AM64" i="8"/>
  <c r="AL64" i="8"/>
  <c r="AK64" i="8"/>
  <c r="AN64" i="8"/>
  <c r="T63" i="8"/>
  <c r="V63" i="8"/>
  <c r="W63" i="8"/>
  <c r="U63" i="8"/>
  <c r="E64" i="8" l="1"/>
  <c r="AG65" i="8" s="1"/>
  <c r="B63" i="8"/>
  <c r="R66" i="8"/>
  <c r="S67" i="8" s="1"/>
  <c r="D63" i="8"/>
  <c r="J63" i="8"/>
  <c r="K63" i="8" s="1"/>
  <c r="AH66" i="8" l="1"/>
  <c r="H64" i="8"/>
  <c r="M64" i="8"/>
  <c r="L63" i="8"/>
  <c r="O64" i="8"/>
  <c r="N64" i="8" s="1"/>
  <c r="F63" i="8"/>
  <c r="G64" i="8" s="1"/>
  <c r="P65" i="8" l="1"/>
  <c r="Q66" i="8" s="1"/>
  <c r="T64" i="8"/>
  <c r="V64" i="8"/>
  <c r="U64" i="8"/>
  <c r="W64" i="8"/>
  <c r="AI65" i="8"/>
  <c r="AO65" i="8"/>
  <c r="AJ65" i="8"/>
  <c r="AM65" i="8"/>
  <c r="AL65" i="8"/>
  <c r="AN65" i="8"/>
  <c r="AK65" i="8"/>
  <c r="D64" i="8" l="1"/>
  <c r="J64" i="8"/>
  <c r="K64" i="8" s="1"/>
  <c r="B64" i="8"/>
  <c r="R67" i="8"/>
  <c r="S68" i="8" s="1"/>
  <c r="E65" i="8"/>
  <c r="AG66" i="8" l="1"/>
  <c r="H65" i="8"/>
  <c r="L64" i="8"/>
  <c r="M65" i="8"/>
  <c r="O65" i="8"/>
  <c r="N65" i="8" s="1"/>
  <c r="F64" i="8"/>
  <c r="G65" i="8" s="1"/>
  <c r="AH67" i="8" l="1"/>
  <c r="T65" i="8"/>
  <c r="U65" i="8"/>
  <c r="W65" i="8"/>
  <c r="V65" i="8"/>
  <c r="AI66" i="8"/>
  <c r="AM66" i="8"/>
  <c r="AK66" i="8"/>
  <c r="AN66" i="8"/>
  <c r="AL66" i="8"/>
  <c r="AO66" i="8"/>
  <c r="AJ66" i="8"/>
  <c r="P66" i="8"/>
  <c r="Q67" i="8" s="1"/>
  <c r="E66" i="8" l="1"/>
  <c r="AG67" i="8" s="1"/>
  <c r="B65" i="8"/>
  <c r="D65" i="8"/>
  <c r="J65" i="8"/>
  <c r="K65" i="8" s="1"/>
  <c r="R68" i="8"/>
  <c r="S69" i="8" s="1"/>
  <c r="L65" i="8" l="1"/>
  <c r="M66" i="8"/>
  <c r="H66" i="8"/>
  <c r="O66" i="8"/>
  <c r="N66" i="8" s="1"/>
  <c r="F65" i="8"/>
  <c r="G66" i="8" s="1"/>
  <c r="AH68" i="8"/>
  <c r="AI67" i="8" l="1"/>
  <c r="AK67" i="8"/>
  <c r="AN67" i="8"/>
  <c r="AO67" i="8"/>
  <c r="AJ67" i="8"/>
  <c r="AL67" i="8"/>
  <c r="AM67" i="8"/>
  <c r="P67" i="8"/>
  <c r="Q68" i="8" s="1"/>
  <c r="T66" i="8"/>
  <c r="W66" i="8"/>
  <c r="V66" i="8"/>
  <c r="U66" i="8"/>
  <c r="D66" i="8" l="1"/>
  <c r="J66" i="8"/>
  <c r="K66" i="8" s="1"/>
  <c r="E67" i="8"/>
  <c r="B66" i="8"/>
  <c r="R69" i="8"/>
  <c r="S70" i="8" s="1"/>
  <c r="AG68" i="8" l="1"/>
  <c r="L66" i="8"/>
  <c r="H67" i="8"/>
  <c r="M67" i="8"/>
  <c r="O67" i="8"/>
  <c r="N67" i="8" s="1"/>
  <c r="F66" i="8"/>
  <c r="G67" i="8" s="1"/>
  <c r="AI68" i="8" l="1"/>
  <c r="AM68" i="8"/>
  <c r="AL68" i="8"/>
  <c r="AN68" i="8"/>
  <c r="AO68" i="8"/>
  <c r="AJ68" i="8"/>
  <c r="AK68" i="8"/>
  <c r="T67" i="8"/>
  <c r="V67" i="8"/>
  <c r="U67" i="8"/>
  <c r="W67" i="8"/>
  <c r="AH69" i="8"/>
  <c r="P68" i="8"/>
  <c r="Q69" i="8" s="1"/>
  <c r="B67" i="8" l="1"/>
  <c r="E68" i="8"/>
  <c r="AG69" i="8" s="1"/>
  <c r="R70" i="8"/>
  <c r="S71" i="8" s="1"/>
  <c r="D67" i="8"/>
  <c r="J67" i="8"/>
  <c r="K67" i="8" s="1"/>
  <c r="AH70" i="8" l="1"/>
  <c r="M68" i="8"/>
  <c r="L67" i="8"/>
  <c r="H68" i="8"/>
  <c r="O68" i="8"/>
  <c r="N68" i="8" s="1"/>
  <c r="F67" i="8"/>
  <c r="G68" i="8" s="1"/>
  <c r="T68" i="8" l="1"/>
  <c r="U68" i="8"/>
  <c r="V68" i="8"/>
  <c r="W68" i="8"/>
  <c r="AI69" i="8"/>
  <c r="AK69" i="8"/>
  <c r="AO69" i="8"/>
  <c r="AJ69" i="8"/>
  <c r="AM69" i="8"/>
  <c r="AN69" i="8"/>
  <c r="AL69" i="8"/>
  <c r="P69" i="8"/>
  <c r="Q70" i="8" s="1"/>
  <c r="D68" i="8" l="1"/>
  <c r="J68" i="8"/>
  <c r="K68" i="8" s="1"/>
  <c r="R71" i="8"/>
  <c r="S72" i="8" s="1"/>
  <c r="E69" i="8"/>
  <c r="B68" i="8"/>
  <c r="AG70" i="8" l="1"/>
  <c r="L68" i="8"/>
  <c r="M69" i="8"/>
  <c r="H69" i="8"/>
  <c r="O69" i="8"/>
  <c r="N69" i="8" s="1"/>
  <c r="F68" i="8"/>
  <c r="G69" i="8" s="1"/>
  <c r="P70" i="8" l="1"/>
  <c r="Q71" i="8" s="1"/>
  <c r="AH71" i="8"/>
  <c r="AI70" i="8"/>
  <c r="AN70" i="8"/>
  <c r="AJ70" i="8"/>
  <c r="AK70" i="8"/>
  <c r="AL70" i="8"/>
  <c r="AM70" i="8"/>
  <c r="AO70" i="8"/>
  <c r="T69" i="8"/>
  <c r="W69" i="8"/>
  <c r="V69" i="8"/>
  <c r="U69" i="8"/>
  <c r="D69" i="8" l="1"/>
  <c r="J69" i="8"/>
  <c r="K69" i="8" s="1"/>
  <c r="E70" i="8"/>
  <c r="B69" i="8"/>
  <c r="R72" i="8"/>
  <c r="S73" i="8" s="1"/>
  <c r="L69" i="8" l="1"/>
  <c r="H70" i="8"/>
  <c r="M70" i="8"/>
  <c r="O70" i="8"/>
  <c r="N70" i="8" s="1"/>
  <c r="F69" i="8"/>
  <c r="G70" i="8" s="1"/>
  <c r="AG71" i="8"/>
  <c r="T70" i="8" l="1"/>
  <c r="U70" i="8"/>
  <c r="V70" i="8"/>
  <c r="W70" i="8"/>
  <c r="AH72" i="8"/>
  <c r="P71" i="8"/>
  <c r="Q72" i="8" s="1"/>
  <c r="AI71" i="8"/>
  <c r="AK71" i="8"/>
  <c r="AM71" i="8"/>
  <c r="AO71" i="8"/>
  <c r="AN71" i="8"/>
  <c r="AL71" i="8"/>
  <c r="AJ71" i="8"/>
  <c r="B70" i="8" l="1"/>
  <c r="D70" i="8"/>
  <c r="J70" i="8"/>
  <c r="K70" i="8" s="1"/>
  <c r="E71" i="8"/>
  <c r="R73" i="8"/>
  <c r="S74" i="8" s="1"/>
  <c r="AG72" i="8" l="1"/>
  <c r="H71" i="8"/>
  <c r="L70" i="8"/>
  <c r="M71" i="8"/>
  <c r="O71" i="8"/>
  <c r="N71" i="8" s="1"/>
  <c r="F70" i="8"/>
  <c r="G71" i="8" s="1"/>
  <c r="T71" i="8" l="1"/>
  <c r="W71" i="8"/>
  <c r="U71" i="8"/>
  <c r="V71" i="8"/>
  <c r="AH73" i="8"/>
  <c r="AI72" i="8"/>
  <c r="AK72" i="8"/>
  <c r="AM72" i="8"/>
  <c r="AL72" i="8"/>
  <c r="AN72" i="8"/>
  <c r="AJ72" i="8"/>
  <c r="AO72" i="8"/>
  <c r="P72" i="8"/>
  <c r="Q73" i="8" s="1"/>
  <c r="B71" i="8" l="1"/>
  <c r="E72" i="8"/>
  <c r="AG73" i="8" s="1"/>
  <c r="D71" i="8"/>
  <c r="J71" i="8"/>
  <c r="K71" i="8" s="1"/>
  <c r="R74" i="8"/>
  <c r="S75" i="8" s="1"/>
  <c r="AH74" i="8" l="1"/>
  <c r="M72" i="8"/>
  <c r="H72" i="8"/>
  <c r="L71" i="8"/>
  <c r="O72" i="8"/>
  <c r="N72" i="8" s="1"/>
  <c r="F71" i="8"/>
  <c r="G72" i="8" s="1"/>
  <c r="P73" i="8" l="1"/>
  <c r="Q74" i="8" s="1"/>
  <c r="T72" i="8"/>
  <c r="V72" i="8"/>
  <c r="U72" i="8"/>
  <c r="W72" i="8"/>
  <c r="AI73" i="8"/>
  <c r="AN73" i="8"/>
  <c r="AK73" i="8"/>
  <c r="AO73" i="8"/>
  <c r="AJ73" i="8"/>
  <c r="AM73" i="8"/>
  <c r="AL73" i="8"/>
  <c r="E73" i="8" l="1"/>
  <c r="B72" i="8"/>
  <c r="D72" i="8"/>
  <c r="J72" i="8"/>
  <c r="K72" i="8" s="1"/>
  <c r="R75" i="8"/>
  <c r="S76" i="8" s="1"/>
  <c r="AG74" i="8" l="1"/>
  <c r="L72" i="8"/>
  <c r="H73" i="8"/>
  <c r="M73" i="8"/>
  <c r="O73" i="8"/>
  <c r="N73" i="8" s="1"/>
  <c r="F72" i="8"/>
  <c r="G73" i="8" s="1"/>
  <c r="AH75" i="8" l="1"/>
  <c r="AI74" i="8"/>
  <c r="AN74" i="8"/>
  <c r="AK74" i="8"/>
  <c r="AL74" i="8"/>
  <c r="AO74" i="8"/>
  <c r="AM74" i="8"/>
  <c r="AJ74" i="8"/>
  <c r="P74" i="8"/>
  <c r="Q75" i="8" s="1"/>
  <c r="T73" i="8"/>
  <c r="U73" i="8"/>
  <c r="W73" i="8"/>
  <c r="V73" i="8"/>
  <c r="B73" i="8" l="1"/>
  <c r="D73" i="8"/>
  <c r="J73" i="8"/>
  <c r="K73" i="8" s="1"/>
  <c r="R76" i="8"/>
  <c r="S77" i="8" s="1"/>
  <c r="E74" i="8"/>
  <c r="AG75" i="8" l="1"/>
  <c r="L73" i="8"/>
  <c r="M74" i="8"/>
  <c r="H74" i="8"/>
  <c r="O74" i="8"/>
  <c r="N74" i="8" s="1"/>
  <c r="F73" i="8"/>
  <c r="G74" i="8" s="1"/>
  <c r="AH76" i="8" l="1"/>
  <c r="AI75" i="8"/>
  <c r="AO75" i="8"/>
  <c r="AM75" i="8"/>
  <c r="AK75" i="8"/>
  <c r="AJ75" i="8"/>
  <c r="AL75" i="8"/>
  <c r="AN75" i="8"/>
  <c r="P75" i="8"/>
  <c r="Q76" i="8" s="1"/>
  <c r="T74" i="8"/>
  <c r="U74" i="8"/>
  <c r="V74" i="8"/>
  <c r="W74" i="8"/>
  <c r="B74" i="8" l="1"/>
  <c r="R77" i="8"/>
  <c r="S78" i="8" s="1"/>
  <c r="E75" i="8"/>
  <c r="D74" i="8"/>
  <c r="J74" i="8"/>
  <c r="K74" i="8" s="1"/>
  <c r="AG76" i="8" l="1"/>
  <c r="L74" i="8"/>
  <c r="H75" i="8"/>
  <c r="M75" i="8"/>
  <c r="O75" i="8"/>
  <c r="N75" i="8" s="1"/>
  <c r="F74" i="8"/>
  <c r="G75" i="8" s="1"/>
  <c r="AH77" i="8" l="1"/>
  <c r="AI76" i="8"/>
  <c r="AM76" i="8"/>
  <c r="AN76" i="8"/>
  <c r="AO76" i="8"/>
  <c r="AJ76" i="8"/>
  <c r="AL76" i="8"/>
  <c r="AK76" i="8"/>
  <c r="P76" i="8"/>
  <c r="Q77" i="8" s="1"/>
  <c r="T75" i="8"/>
  <c r="W75" i="8"/>
  <c r="V75" i="8"/>
  <c r="U75" i="8"/>
  <c r="E76" i="8" l="1"/>
  <c r="AG77" i="8" s="1"/>
  <c r="R78" i="8"/>
  <c r="S79" i="8" s="1"/>
  <c r="D75" i="8"/>
  <c r="J75" i="8"/>
  <c r="K75" i="8" s="1"/>
  <c r="B75" i="8"/>
  <c r="D28" i="8" s="1"/>
  <c r="AH78" i="8" l="1"/>
  <c r="H76" i="8"/>
  <c r="L75" i="8"/>
  <c r="M76" i="8"/>
  <c r="O76" i="8"/>
  <c r="N76" i="8" s="1"/>
  <c r="F75" i="8"/>
  <c r="G76" i="8" s="1"/>
  <c r="AI77" i="8" l="1"/>
  <c r="AJ77" i="8"/>
  <c r="AK77" i="8"/>
  <c r="AO77" i="8"/>
  <c r="AN77" i="8"/>
  <c r="AL77" i="8"/>
  <c r="AM77" i="8"/>
  <c r="T76" i="8"/>
  <c r="U76" i="8"/>
  <c r="V76" i="8"/>
  <c r="W76" i="8"/>
  <c r="P77" i="8"/>
  <c r="Q78" i="8" s="1"/>
  <c r="R79" i="8" l="1"/>
  <c r="S80" i="8" s="1"/>
  <c r="D76" i="8"/>
  <c r="J76" i="8"/>
  <c r="K76" i="8" s="1"/>
  <c r="B76" i="8"/>
  <c r="E77" i="8"/>
  <c r="L76" i="8" l="1"/>
  <c r="H77" i="8"/>
  <c r="M77" i="8"/>
  <c r="O77" i="8"/>
  <c r="N77" i="8" s="1"/>
  <c r="F76" i="8"/>
  <c r="G77" i="8" s="1"/>
  <c r="AG78" i="8"/>
  <c r="AI78" i="8" l="1"/>
  <c r="AK78" i="8"/>
  <c r="AM78" i="8"/>
  <c r="AJ78" i="8"/>
  <c r="AO78" i="8"/>
  <c r="AL78" i="8"/>
  <c r="AN78" i="8"/>
  <c r="P78" i="8"/>
  <c r="Q79" i="8" s="1"/>
  <c r="T77" i="8"/>
  <c r="V77" i="8"/>
  <c r="W77" i="8"/>
  <c r="U77" i="8"/>
  <c r="AH79" i="8"/>
  <c r="B77" i="8" l="1"/>
  <c r="E78" i="8"/>
  <c r="D77" i="8"/>
  <c r="J77" i="8"/>
  <c r="K77" i="8" s="1"/>
  <c r="R80" i="8"/>
  <c r="AG79" i="8" l="1"/>
  <c r="H78" i="8"/>
  <c r="L77" i="8"/>
  <c r="M78" i="8"/>
  <c r="O78" i="8"/>
  <c r="N78" i="8" s="1"/>
  <c r="F77" i="8"/>
  <c r="G78" i="8" s="1"/>
  <c r="AI79" i="8" l="1"/>
  <c r="AK79" i="8"/>
  <c r="AO79" i="8"/>
  <c r="AM79" i="8"/>
  <c r="AN79" i="8"/>
  <c r="AL79" i="8"/>
  <c r="AJ79" i="8"/>
  <c r="T78" i="8"/>
  <c r="V78" i="8"/>
  <c r="W78" i="8"/>
  <c r="U78" i="8"/>
  <c r="AH80" i="8"/>
  <c r="P79" i="8"/>
  <c r="Q80" i="8" s="1"/>
  <c r="E79" i="8" l="1"/>
  <c r="AG80" i="8" s="1"/>
  <c r="D78" i="8"/>
  <c r="J78" i="8"/>
  <c r="K78" i="8" s="1"/>
  <c r="B78" i="8"/>
  <c r="H79" i="8" l="1"/>
  <c r="M79" i="8"/>
  <c r="L78" i="8"/>
  <c r="O79" i="8"/>
  <c r="N79" i="8" s="1"/>
  <c r="F78" i="8"/>
  <c r="G79" i="8" s="1"/>
  <c r="AI80" i="8" l="1"/>
  <c r="AJ80" i="8"/>
  <c r="AK80" i="8"/>
  <c r="AO80" i="8"/>
  <c r="AM80" i="8"/>
  <c r="AL80" i="8"/>
  <c r="AN80" i="8"/>
  <c r="P80" i="8"/>
  <c r="T79" i="8"/>
  <c r="V79" i="8"/>
  <c r="W79" i="8"/>
  <c r="U79" i="8"/>
  <c r="D79" i="8" l="1"/>
  <c r="J79" i="8"/>
  <c r="K79" i="8" s="1"/>
  <c r="B79" i="8"/>
  <c r="E80" i="8"/>
  <c r="H80" i="8" l="1"/>
  <c r="L79" i="8"/>
  <c r="M80" i="8"/>
  <c r="O80" i="8"/>
  <c r="N80" i="8" s="1"/>
  <c r="F79" i="8"/>
  <c r="G80" i="8" s="1"/>
  <c r="T80" i="8" l="1"/>
  <c r="V80" i="8"/>
  <c r="W80" i="8"/>
  <c r="U80" i="8"/>
  <c r="D80" i="8" l="1"/>
  <c r="J80" i="8"/>
  <c r="K80" i="8" s="1"/>
  <c r="B80" i="8"/>
  <c r="L80" i="8" l="1"/>
  <c r="F80" i="8"/>
  <c r="H133" i="19" l="1"/>
  <c r="H139" i="19"/>
  <c r="G139" i="19" s="1"/>
  <c r="H109" i="19"/>
  <c r="H121" i="19"/>
  <c r="H105" i="19"/>
  <c r="H136" i="19"/>
  <c r="H120" i="19"/>
  <c r="H106" i="19"/>
  <c r="H107" i="19"/>
  <c r="H137" i="19"/>
  <c r="H93" i="19"/>
  <c r="H118" i="19"/>
  <c r="H127" i="19"/>
  <c r="H129" i="19"/>
  <c r="H97" i="19"/>
  <c r="L97" i="19" s="1"/>
  <c r="H111" i="19"/>
  <c r="H134" i="19"/>
  <c r="L134" i="19" s="1"/>
  <c r="H138" i="19"/>
  <c r="H128" i="19"/>
  <c r="H115" i="19"/>
  <c r="H89" i="19"/>
  <c r="H85" i="19"/>
  <c r="H102" i="19"/>
  <c r="H126" i="19"/>
  <c r="H88" i="19"/>
  <c r="H84" i="19"/>
  <c r="H110" i="19"/>
  <c r="H83" i="19"/>
  <c r="H87" i="19"/>
  <c r="H122" i="19"/>
  <c r="H92" i="19"/>
  <c r="H119" i="19"/>
  <c r="H112" i="19"/>
  <c r="M112" i="19" s="1"/>
  <c r="R112" i="19" s="1"/>
  <c r="H82" i="19"/>
  <c r="H114" i="19"/>
  <c r="H98" i="19"/>
  <c r="H108" i="19"/>
  <c r="H123" i="19"/>
  <c r="H130" i="19"/>
  <c r="H117" i="19"/>
  <c r="H91" i="19"/>
  <c r="H103" i="19"/>
  <c r="H113" i="19"/>
  <c r="H124" i="19"/>
  <c r="H125" i="19"/>
  <c r="H101" i="19"/>
  <c r="H96" i="19"/>
  <c r="H90" i="19"/>
  <c r="H79" i="19"/>
  <c r="H95" i="19"/>
  <c r="H116" i="19"/>
  <c r="H104" i="19"/>
  <c r="H131" i="19"/>
  <c r="H100" i="19"/>
  <c r="H135" i="19"/>
  <c r="H99" i="19"/>
  <c r="H80" i="19"/>
  <c r="H86" i="19"/>
  <c r="H94" i="19"/>
  <c r="H78" i="19"/>
  <c r="H140" i="19"/>
  <c r="H132" i="19"/>
  <c r="H77" i="19"/>
  <c r="K87" i="19" l="1"/>
  <c r="I87" i="19" s="1"/>
  <c r="M87" i="19"/>
  <c r="R87" i="19" s="1"/>
  <c r="L87" i="19"/>
  <c r="K85" i="19"/>
  <c r="I85" i="19" s="1"/>
  <c r="L85" i="19"/>
  <c r="M85" i="19"/>
  <c r="R85" i="19" s="1"/>
  <c r="K78" i="19"/>
  <c r="I78" i="19" s="1"/>
  <c r="L78" i="19"/>
  <c r="M78" i="19"/>
  <c r="R78" i="19" s="1"/>
  <c r="K83" i="19"/>
  <c r="I83" i="19" s="1"/>
  <c r="L83" i="19"/>
  <c r="M83" i="19"/>
  <c r="R83" i="19" s="1"/>
  <c r="K77" i="19"/>
  <c r="I77" i="19" s="1"/>
  <c r="L77" i="19"/>
  <c r="M77" i="19"/>
  <c r="R77" i="19" s="1"/>
  <c r="M86" i="19"/>
  <c r="R86" i="19" s="1"/>
  <c r="L86" i="19"/>
  <c r="K86" i="19"/>
  <c r="I86" i="19" s="1"/>
  <c r="L82" i="19"/>
  <c r="M82" i="19"/>
  <c r="R82" i="19" s="1"/>
  <c r="K82" i="19"/>
  <c r="I82" i="19" s="1"/>
  <c r="L84" i="19"/>
  <c r="M84" i="19"/>
  <c r="R84" i="19" s="1"/>
  <c r="K84" i="19"/>
  <c r="I84" i="19" s="1"/>
  <c r="K80" i="19"/>
  <c r="I80" i="19" s="1"/>
  <c r="L80" i="19"/>
  <c r="M80" i="19"/>
  <c r="R80" i="19" s="1"/>
  <c r="K79" i="19"/>
  <c r="I79" i="19" s="1"/>
  <c r="L79" i="19"/>
  <c r="M79" i="19"/>
  <c r="R79" i="19" s="1"/>
  <c r="G88" i="19"/>
  <c r="L88" i="19"/>
  <c r="M88" i="19"/>
  <c r="R88" i="19" s="1"/>
  <c r="K88" i="19"/>
  <c r="I88" i="19" s="1"/>
  <c r="H81" i="19"/>
  <c r="G77" i="19"/>
  <c r="G132" i="19"/>
  <c r="M132" i="19"/>
  <c r="L132" i="19"/>
  <c r="G78" i="19"/>
  <c r="M99" i="19"/>
  <c r="R99" i="19" s="1"/>
  <c r="L99" i="19"/>
  <c r="G99" i="19"/>
  <c r="G94" i="19"/>
  <c r="L94" i="19"/>
  <c r="M94" i="19"/>
  <c r="R94" i="19" s="1"/>
  <c r="G80" i="19"/>
  <c r="G86" i="19"/>
  <c r="G113" i="19"/>
  <c r="M113" i="19"/>
  <c r="L113" i="19"/>
  <c r="L103" i="19"/>
  <c r="G103" i="19"/>
  <c r="M103" i="19"/>
  <c r="R103" i="19" s="1"/>
  <c r="S112" i="19"/>
  <c r="N112" i="19"/>
  <c r="O112" i="19"/>
  <c r="Q112" i="19"/>
  <c r="P112" i="19"/>
  <c r="L135" i="19"/>
  <c r="M135" i="19"/>
  <c r="G135" i="19"/>
  <c r="M125" i="19"/>
  <c r="G125" i="19"/>
  <c r="L125" i="19"/>
  <c r="G117" i="19"/>
  <c r="M117" i="19"/>
  <c r="L117" i="19"/>
  <c r="L131" i="19"/>
  <c r="G131" i="19"/>
  <c r="M131" i="19"/>
  <c r="G95" i="19"/>
  <c r="L95" i="19"/>
  <c r="M95" i="19"/>
  <c r="R95" i="19" s="1"/>
  <c r="G91" i="19"/>
  <c r="L91" i="19"/>
  <c r="M91" i="19"/>
  <c r="R91" i="19" s="1"/>
  <c r="H141" i="19"/>
  <c r="L130" i="19"/>
  <c r="G130" i="19"/>
  <c r="M130" i="19"/>
  <c r="M98" i="19"/>
  <c r="R98" i="19" s="1"/>
  <c r="L98" i="19"/>
  <c r="G98" i="19"/>
  <c r="G119" i="19"/>
  <c r="L119" i="19"/>
  <c r="M119" i="19"/>
  <c r="L102" i="19"/>
  <c r="M102" i="19"/>
  <c r="R102" i="19" s="1"/>
  <c r="G102" i="19"/>
  <c r="M140" i="19"/>
  <c r="G140" i="19"/>
  <c r="L140" i="19"/>
  <c r="M101" i="19"/>
  <c r="R101" i="19" s="1"/>
  <c r="L101" i="19"/>
  <c r="G101" i="19"/>
  <c r="M124" i="19"/>
  <c r="L124" i="19"/>
  <c r="G124" i="19"/>
  <c r="G123" i="19"/>
  <c r="M123" i="19"/>
  <c r="L123" i="19"/>
  <c r="G87" i="19"/>
  <c r="G79" i="19"/>
  <c r="G82" i="19"/>
  <c r="G90" i="19"/>
  <c r="L90" i="19"/>
  <c r="M90" i="19"/>
  <c r="R90" i="19" s="1"/>
  <c r="G112" i="19"/>
  <c r="L112" i="19"/>
  <c r="M104" i="19"/>
  <c r="R104" i="19" s="1"/>
  <c r="G104" i="19"/>
  <c r="L104" i="19"/>
  <c r="M114" i="19"/>
  <c r="L114" i="19"/>
  <c r="G114" i="19"/>
  <c r="G85" i="19"/>
  <c r="M129" i="19"/>
  <c r="L129" i="19"/>
  <c r="G129" i="19"/>
  <c r="L116" i="19"/>
  <c r="M116" i="19"/>
  <c r="G116" i="19"/>
  <c r="L96" i="19"/>
  <c r="G96" i="19"/>
  <c r="L108" i="19"/>
  <c r="M108" i="19"/>
  <c r="R108" i="19" s="1"/>
  <c r="G108" i="19"/>
  <c r="M110" i="19"/>
  <c r="R110" i="19" s="1"/>
  <c r="L110" i="19"/>
  <c r="G110" i="19"/>
  <c r="L137" i="19"/>
  <c r="M137" i="19"/>
  <c r="G137" i="19"/>
  <c r="L100" i="19"/>
  <c r="M100" i="19"/>
  <c r="R100" i="19" s="1"/>
  <c r="G100" i="19"/>
  <c r="G84" i="19"/>
  <c r="L115" i="19"/>
  <c r="M115" i="19"/>
  <c r="G115" i="19"/>
  <c r="M127" i="19"/>
  <c r="G127" i="19"/>
  <c r="L127" i="19"/>
  <c r="G107" i="19"/>
  <c r="L107" i="19"/>
  <c r="M107" i="19"/>
  <c r="R107" i="19" s="1"/>
  <c r="G106" i="19"/>
  <c r="M106" i="19"/>
  <c r="R106" i="19" s="1"/>
  <c r="L106" i="19"/>
  <c r="L128" i="19"/>
  <c r="M128" i="19"/>
  <c r="G128" i="19"/>
  <c r="M89" i="19"/>
  <c r="R89" i="19" s="1"/>
  <c r="L89" i="19"/>
  <c r="G89" i="19"/>
  <c r="M138" i="19"/>
  <c r="L138" i="19"/>
  <c r="G138" i="19"/>
  <c r="L92" i="19"/>
  <c r="G92" i="19"/>
  <c r="M92" i="19"/>
  <c r="R92" i="19" s="1"/>
  <c r="L126" i="19"/>
  <c r="M126" i="19"/>
  <c r="G126" i="19"/>
  <c r="G81" i="19"/>
  <c r="M122" i="19"/>
  <c r="G122" i="19"/>
  <c r="L122" i="19"/>
  <c r="G134" i="19"/>
  <c r="M134" i="19"/>
  <c r="L93" i="19"/>
  <c r="G93" i="19"/>
  <c r="M93" i="19"/>
  <c r="R93" i="19" s="1"/>
  <c r="M96" i="19"/>
  <c r="R96" i="19" s="1"/>
  <c r="G83" i="19"/>
  <c r="M133" i="19"/>
  <c r="G133" i="19"/>
  <c r="L133" i="19"/>
  <c r="M97" i="19"/>
  <c r="R97" i="19" s="1"/>
  <c r="M109" i="19"/>
  <c r="R109" i="19" s="1"/>
  <c r="G109" i="19"/>
  <c r="L109" i="19"/>
  <c r="G97" i="19"/>
  <c r="G120" i="19"/>
  <c r="L120" i="19"/>
  <c r="M120" i="19"/>
  <c r="M111" i="19"/>
  <c r="R111" i="19" s="1"/>
  <c r="G111" i="19"/>
  <c r="L111" i="19"/>
  <c r="L136" i="19"/>
  <c r="M136" i="19"/>
  <c r="G136" i="19"/>
  <c r="L139" i="19"/>
  <c r="M139" i="19"/>
  <c r="M105" i="19"/>
  <c r="R105" i="19" s="1"/>
  <c r="G105" i="19"/>
  <c r="L105" i="19"/>
  <c r="M118" i="19"/>
  <c r="L118" i="19"/>
  <c r="G118" i="19"/>
  <c r="M121" i="19"/>
  <c r="L121" i="19"/>
  <c r="G121" i="19"/>
  <c r="N86" i="19" l="1"/>
  <c r="O86" i="19"/>
  <c r="P86" i="19"/>
  <c r="S86" i="19"/>
  <c r="Q86" i="19"/>
  <c r="N84" i="19"/>
  <c r="S84" i="19"/>
  <c r="O84" i="19"/>
  <c r="P84" i="19"/>
  <c r="Q84" i="19"/>
  <c r="S77" i="19"/>
  <c r="Q77" i="19"/>
  <c r="N77" i="19"/>
  <c r="O77" i="19"/>
  <c r="P77" i="19"/>
  <c r="N79" i="19"/>
  <c r="P79" i="19"/>
  <c r="Q79" i="19"/>
  <c r="S79" i="19"/>
  <c r="O79" i="19"/>
  <c r="O85" i="19"/>
  <c r="P85" i="19"/>
  <c r="Q85" i="19"/>
  <c r="S85" i="19"/>
  <c r="N85" i="19"/>
  <c r="S82" i="19"/>
  <c r="N82" i="19"/>
  <c r="O82" i="19"/>
  <c r="P82" i="19"/>
  <c r="Q82" i="19"/>
  <c r="O83" i="19"/>
  <c r="N83" i="19"/>
  <c r="P83" i="19"/>
  <c r="S83" i="19"/>
  <c r="Q83" i="19"/>
  <c r="K81" i="19"/>
  <c r="I81" i="19" s="1"/>
  <c r="L81" i="19"/>
  <c r="M81" i="19"/>
  <c r="R81" i="19" s="1"/>
  <c r="P80" i="19"/>
  <c r="Q80" i="19"/>
  <c r="N80" i="19"/>
  <c r="O80" i="19"/>
  <c r="S80" i="19"/>
  <c r="N87" i="19"/>
  <c r="Q87" i="19"/>
  <c r="S87" i="19"/>
  <c r="P87" i="19"/>
  <c r="O87" i="19"/>
  <c r="P88" i="19"/>
  <c r="N88" i="19"/>
  <c r="O88" i="19"/>
  <c r="Q88" i="19"/>
  <c r="S88" i="19"/>
  <c r="N78" i="19"/>
  <c r="O78" i="19"/>
  <c r="P78" i="19"/>
  <c r="Q78" i="19"/>
  <c r="S78" i="19"/>
  <c r="Q140" i="19"/>
  <c r="P140" i="19"/>
  <c r="S140" i="19"/>
  <c r="N140" i="19"/>
  <c r="O140" i="19"/>
  <c r="R140" i="19"/>
  <c r="P102" i="19"/>
  <c r="N102" i="19"/>
  <c r="Q102" i="19"/>
  <c r="S102" i="19"/>
  <c r="O102" i="19"/>
  <c r="Q130" i="19"/>
  <c r="S130" i="19"/>
  <c r="P130" i="19"/>
  <c r="R130" i="19"/>
  <c r="O130" i="19"/>
  <c r="N130" i="19"/>
  <c r="O113" i="19"/>
  <c r="Q113" i="19"/>
  <c r="P113" i="19"/>
  <c r="S113" i="19"/>
  <c r="R113" i="19"/>
  <c r="N113" i="19"/>
  <c r="S94" i="19"/>
  <c r="N94" i="19"/>
  <c r="P94" i="19"/>
  <c r="O94" i="19"/>
  <c r="Q94" i="19"/>
  <c r="S97" i="19"/>
  <c r="N97" i="19"/>
  <c r="P97" i="19"/>
  <c r="Q97" i="19"/>
  <c r="O97" i="19"/>
  <c r="S90" i="19"/>
  <c r="O90" i="19"/>
  <c r="N90" i="19"/>
  <c r="P90" i="19"/>
  <c r="Q90" i="19"/>
  <c r="S95" i="19"/>
  <c r="P95" i="19"/>
  <c r="Q95" i="19"/>
  <c r="O95" i="19"/>
  <c r="N95" i="19"/>
  <c r="S111" i="19"/>
  <c r="Q111" i="19"/>
  <c r="N111" i="19"/>
  <c r="O111" i="19"/>
  <c r="P111" i="19"/>
  <c r="P126" i="19"/>
  <c r="O126" i="19"/>
  <c r="N126" i="19"/>
  <c r="S126" i="19"/>
  <c r="Q126" i="19"/>
  <c r="R126" i="19"/>
  <c r="S121" i="19"/>
  <c r="P121" i="19"/>
  <c r="R121" i="19"/>
  <c r="O121" i="19"/>
  <c r="N121" i="19"/>
  <c r="Q121" i="19"/>
  <c r="N119" i="19"/>
  <c r="O119" i="19"/>
  <c r="R119" i="19"/>
  <c r="S119" i="19"/>
  <c r="Q119" i="19"/>
  <c r="P119" i="19"/>
  <c r="O131" i="19"/>
  <c r="P131" i="19"/>
  <c r="N131" i="19"/>
  <c r="R131" i="19"/>
  <c r="Q131" i="19"/>
  <c r="S131" i="19"/>
  <c r="O125" i="19"/>
  <c r="S125" i="19"/>
  <c r="N125" i="19"/>
  <c r="Q125" i="19"/>
  <c r="R125" i="19"/>
  <c r="P125" i="19"/>
  <c r="O132" i="19"/>
  <c r="P132" i="19"/>
  <c r="S132" i="19"/>
  <c r="R132" i="19"/>
  <c r="Q132" i="19"/>
  <c r="N132" i="19"/>
  <c r="Q98" i="19"/>
  <c r="O98" i="19"/>
  <c r="S98" i="19"/>
  <c r="N98" i="19"/>
  <c r="P98" i="19"/>
  <c r="O105" i="19"/>
  <c r="P105" i="19"/>
  <c r="S105" i="19"/>
  <c r="Q105" i="19"/>
  <c r="N105" i="19"/>
  <c r="Q120" i="19"/>
  <c r="P120" i="19"/>
  <c r="N120" i="19"/>
  <c r="S120" i="19"/>
  <c r="O120" i="19"/>
  <c r="R120" i="19"/>
  <c r="S116" i="19"/>
  <c r="O116" i="19"/>
  <c r="R116" i="19"/>
  <c r="Q116" i="19"/>
  <c r="N116" i="19"/>
  <c r="P116" i="19"/>
  <c r="N124" i="19"/>
  <c r="Q124" i="19"/>
  <c r="P124" i="19"/>
  <c r="R124" i="19"/>
  <c r="O124" i="19"/>
  <c r="S124" i="19"/>
  <c r="N133" i="19"/>
  <c r="P133" i="19"/>
  <c r="O133" i="19"/>
  <c r="R133" i="19"/>
  <c r="Q133" i="19"/>
  <c r="S133" i="19"/>
  <c r="S106" i="19"/>
  <c r="Q106" i="19"/>
  <c r="O106" i="19"/>
  <c r="N106" i="19"/>
  <c r="P106" i="19"/>
  <c r="N108" i="19"/>
  <c r="O108" i="19"/>
  <c r="P108" i="19"/>
  <c r="S108" i="19"/>
  <c r="Q108" i="19"/>
  <c r="P115" i="19"/>
  <c r="N115" i="19"/>
  <c r="Q115" i="19"/>
  <c r="R115" i="19"/>
  <c r="O115" i="19"/>
  <c r="S115" i="19"/>
  <c r="P129" i="19"/>
  <c r="S129" i="19"/>
  <c r="R129" i="19"/>
  <c r="Q129" i="19"/>
  <c r="N129" i="19"/>
  <c r="O129" i="19"/>
  <c r="N91" i="19"/>
  <c r="S91" i="19"/>
  <c r="Q91" i="19"/>
  <c r="P91" i="19"/>
  <c r="O91" i="19"/>
  <c r="S135" i="19"/>
  <c r="Q135" i="19"/>
  <c r="N135" i="19"/>
  <c r="R135" i="19"/>
  <c r="P135" i="19"/>
  <c r="O135" i="19"/>
  <c r="O103" i="19"/>
  <c r="S103" i="19"/>
  <c r="P103" i="19"/>
  <c r="Q103" i="19"/>
  <c r="N103" i="19"/>
  <c r="N109" i="19"/>
  <c r="S109" i="19"/>
  <c r="O109" i="19"/>
  <c r="P109" i="19"/>
  <c r="Q109" i="19"/>
  <c r="S139" i="19"/>
  <c r="N139" i="19"/>
  <c r="P139" i="19"/>
  <c r="Q139" i="19"/>
  <c r="R139" i="19"/>
  <c r="O139" i="19"/>
  <c r="O110" i="19"/>
  <c r="P110" i="19"/>
  <c r="Q110" i="19"/>
  <c r="N110" i="19"/>
  <c r="S110" i="19"/>
  <c r="Q127" i="19"/>
  <c r="N127" i="19"/>
  <c r="P127" i="19"/>
  <c r="R127" i="19"/>
  <c r="O127" i="19"/>
  <c r="S127" i="19"/>
  <c r="P92" i="19"/>
  <c r="Q92" i="19"/>
  <c r="O92" i="19"/>
  <c r="S92" i="19"/>
  <c r="N92" i="19"/>
  <c r="S114" i="19"/>
  <c r="Q114" i="19"/>
  <c r="P114" i="19"/>
  <c r="R114" i="19"/>
  <c r="O114" i="19"/>
  <c r="N114" i="19"/>
  <c r="H142" i="19"/>
  <c r="P122" i="19"/>
  <c r="R122" i="19"/>
  <c r="N122" i="19"/>
  <c r="Q122" i="19"/>
  <c r="O122" i="19"/>
  <c r="S122" i="19"/>
  <c r="Q128" i="19"/>
  <c r="N128" i="19"/>
  <c r="P128" i="19"/>
  <c r="S128" i="19"/>
  <c r="O128" i="19"/>
  <c r="R128" i="19"/>
  <c r="O107" i="19"/>
  <c r="S107" i="19"/>
  <c r="Q107" i="19"/>
  <c r="P107" i="19"/>
  <c r="N107" i="19"/>
  <c r="N137" i="19"/>
  <c r="O137" i="19"/>
  <c r="Q137" i="19"/>
  <c r="R137" i="19"/>
  <c r="P137" i="19"/>
  <c r="S137" i="19"/>
  <c r="Q101" i="19"/>
  <c r="N101" i="19"/>
  <c r="S101" i="19"/>
  <c r="P101" i="19"/>
  <c r="O101" i="19"/>
  <c r="Q99" i="19"/>
  <c r="N99" i="19"/>
  <c r="O99" i="19"/>
  <c r="S99" i="19"/>
  <c r="P99" i="19"/>
  <c r="N138" i="19"/>
  <c r="P138" i="19"/>
  <c r="R138" i="19"/>
  <c r="Q138" i="19"/>
  <c r="O138" i="19"/>
  <c r="S138" i="19"/>
  <c r="S134" i="19"/>
  <c r="P134" i="19"/>
  <c r="R134" i="19"/>
  <c r="O134" i="19"/>
  <c r="Q134" i="19"/>
  <c r="N134" i="19"/>
  <c r="P100" i="19"/>
  <c r="Q100" i="19"/>
  <c r="S100" i="19"/>
  <c r="N100" i="19"/>
  <c r="O100" i="19"/>
  <c r="S89" i="19"/>
  <c r="O89" i="19"/>
  <c r="N89" i="19"/>
  <c r="P89" i="19"/>
  <c r="Q89" i="19"/>
  <c r="O136" i="19"/>
  <c r="Q136" i="19"/>
  <c r="N136" i="19"/>
  <c r="R136" i="19"/>
  <c r="P136" i="19"/>
  <c r="S136" i="19"/>
  <c r="S118" i="19"/>
  <c r="Q118" i="19"/>
  <c r="R118" i="19"/>
  <c r="N118" i="19"/>
  <c r="O118" i="19"/>
  <c r="P118" i="19"/>
  <c r="O96" i="19"/>
  <c r="S96" i="19"/>
  <c r="Q96" i="19"/>
  <c r="N96" i="19"/>
  <c r="P96" i="19"/>
  <c r="P93" i="19"/>
  <c r="N93" i="19"/>
  <c r="Q93" i="19"/>
  <c r="S93" i="19"/>
  <c r="O93" i="19"/>
  <c r="Q104" i="19"/>
  <c r="N104" i="19"/>
  <c r="S104" i="19"/>
  <c r="P104" i="19"/>
  <c r="O104" i="19"/>
  <c r="Q123" i="19"/>
  <c r="R123" i="19"/>
  <c r="O123" i="19"/>
  <c r="P123" i="19"/>
  <c r="N123" i="19"/>
  <c r="S123" i="19"/>
  <c r="S117" i="19"/>
  <c r="P117" i="19"/>
  <c r="N117" i="19"/>
  <c r="R117" i="19"/>
  <c r="Q117" i="19"/>
  <c r="O117" i="19"/>
  <c r="O81" i="19" l="1"/>
  <c r="N81" i="19"/>
  <c r="S81" i="19"/>
  <c r="P81" i="19"/>
  <c r="Q81" i="19"/>
  <c r="L141" i="19"/>
  <c r="M141" i="19"/>
  <c r="G141" i="19"/>
  <c r="H143" i="19"/>
  <c r="M142" i="19" l="1"/>
  <c r="L142" i="19"/>
  <c r="G142" i="19"/>
  <c r="S141" i="19"/>
  <c r="Q141" i="19"/>
  <c r="N141" i="19"/>
  <c r="P141" i="19"/>
  <c r="O141" i="19"/>
  <c r="R141" i="19"/>
  <c r="H144" i="19"/>
  <c r="H145" i="19" l="1"/>
  <c r="M143" i="19"/>
  <c r="G143" i="19"/>
  <c r="L143" i="19"/>
  <c r="O142" i="19"/>
  <c r="N142" i="19"/>
  <c r="S142" i="19"/>
  <c r="P142" i="19"/>
  <c r="Q142" i="19"/>
  <c r="R142" i="19"/>
  <c r="P143" i="19" l="1"/>
  <c r="N143" i="19"/>
  <c r="O143" i="19"/>
  <c r="S143" i="19"/>
  <c r="Q143" i="19"/>
  <c r="R143" i="19"/>
  <c r="H146" i="19"/>
  <c r="M144" i="19"/>
  <c r="L144" i="19"/>
  <c r="G144" i="19"/>
  <c r="N144" i="19" l="1"/>
  <c r="R144" i="19"/>
  <c r="S144" i="19"/>
  <c r="O144" i="19"/>
  <c r="P144" i="19"/>
  <c r="Q144" i="19"/>
  <c r="H147" i="19"/>
  <c r="L145" i="19"/>
  <c r="G145" i="19"/>
  <c r="M145" i="19"/>
  <c r="P145" i="19" l="1"/>
  <c r="Q145" i="19"/>
  <c r="N145" i="19"/>
  <c r="S145" i="19"/>
  <c r="O145" i="19"/>
  <c r="R145" i="19"/>
  <c r="H148" i="19"/>
  <c r="M146" i="19"/>
  <c r="L146" i="19"/>
  <c r="G146" i="19"/>
  <c r="N146" i="19" l="1"/>
  <c r="S146" i="19"/>
  <c r="P146" i="19"/>
  <c r="Q146" i="19"/>
  <c r="R146" i="19"/>
  <c r="O146" i="19"/>
  <c r="M147" i="19"/>
  <c r="G147" i="19"/>
  <c r="L147" i="19"/>
  <c r="H149" i="19"/>
  <c r="P147" i="19" l="1"/>
  <c r="O147" i="19"/>
  <c r="N147" i="19"/>
  <c r="S147" i="19"/>
  <c r="Q147" i="19"/>
  <c r="R147" i="19"/>
  <c r="H150" i="19"/>
  <c r="M148" i="19"/>
  <c r="G148" i="19"/>
  <c r="L148" i="19"/>
  <c r="M149" i="19" l="1"/>
  <c r="G149" i="19"/>
  <c r="L149" i="19"/>
  <c r="R148" i="19"/>
  <c r="P148" i="19"/>
  <c r="Q148" i="19"/>
  <c r="N148" i="19"/>
  <c r="S148" i="19"/>
  <c r="O148" i="19"/>
  <c r="H151" i="19"/>
  <c r="H152" i="19" l="1"/>
  <c r="M150" i="19"/>
  <c r="G150" i="19"/>
  <c r="L150" i="19"/>
  <c r="O149" i="19"/>
  <c r="Q149" i="19"/>
  <c r="S149" i="19"/>
  <c r="R149" i="19"/>
  <c r="P149" i="19"/>
  <c r="N149" i="19"/>
  <c r="R150" i="19" l="1"/>
  <c r="N150" i="19"/>
  <c r="O150" i="19"/>
  <c r="P150" i="19"/>
  <c r="Q150" i="19"/>
  <c r="S150" i="19"/>
  <c r="H153" i="19"/>
  <c r="L151" i="19"/>
  <c r="G151" i="19"/>
  <c r="M151" i="19"/>
  <c r="H154" i="19" l="1"/>
  <c r="Q151" i="19"/>
  <c r="N151" i="19"/>
  <c r="P151" i="19"/>
  <c r="O151" i="19"/>
  <c r="S151" i="19"/>
  <c r="R151" i="19"/>
  <c r="G152" i="19"/>
  <c r="M152" i="19"/>
  <c r="L152" i="19"/>
  <c r="N152" i="19" l="1"/>
  <c r="P152" i="19"/>
  <c r="R152" i="19"/>
  <c r="Q152" i="19"/>
  <c r="O152" i="19"/>
  <c r="S152" i="19"/>
  <c r="H155" i="19"/>
  <c r="G153" i="19"/>
  <c r="M153" i="19"/>
  <c r="L153" i="19"/>
  <c r="L154" i="19" l="1"/>
  <c r="M154" i="19"/>
  <c r="G154" i="19"/>
  <c r="H156" i="19"/>
  <c r="N153" i="19"/>
  <c r="Q153" i="19"/>
  <c r="P153" i="19"/>
  <c r="S153" i="19"/>
  <c r="O153" i="19"/>
  <c r="R153" i="19"/>
  <c r="M155" i="19" l="1"/>
  <c r="G155" i="19"/>
  <c r="L155" i="19"/>
  <c r="H157" i="19"/>
  <c r="Q154" i="19"/>
  <c r="R154" i="19"/>
  <c r="S154" i="19"/>
  <c r="N154" i="19"/>
  <c r="O154" i="19"/>
  <c r="P154" i="19"/>
  <c r="G156" i="19" l="1"/>
  <c r="M156" i="19"/>
  <c r="L156" i="19"/>
  <c r="H158" i="19"/>
  <c r="R155" i="19"/>
  <c r="Q155" i="19"/>
  <c r="S155" i="19"/>
  <c r="N155" i="19"/>
  <c r="O155" i="19"/>
  <c r="P155" i="19"/>
  <c r="H159" i="19" l="1"/>
  <c r="G157" i="19"/>
  <c r="M157" i="19"/>
  <c r="L157" i="19"/>
  <c r="P156" i="19"/>
  <c r="Q156" i="19"/>
  <c r="S156" i="19"/>
  <c r="O156" i="19"/>
  <c r="R156" i="19"/>
  <c r="N156" i="19"/>
  <c r="P157" i="19" l="1"/>
  <c r="N157" i="19"/>
  <c r="R157" i="19"/>
  <c r="O157" i="19"/>
  <c r="Q157" i="19"/>
  <c r="S157" i="19"/>
  <c r="H160" i="19"/>
  <c r="L158" i="19"/>
  <c r="M158" i="19"/>
  <c r="G158" i="19"/>
  <c r="H161" i="19" l="1"/>
  <c r="G159" i="19"/>
  <c r="L159" i="19"/>
  <c r="M159" i="19"/>
  <c r="Q158" i="19"/>
  <c r="S158" i="19"/>
  <c r="R158" i="19"/>
  <c r="O158" i="19"/>
  <c r="N158" i="19"/>
  <c r="P158" i="19"/>
  <c r="R159" i="19" l="1"/>
  <c r="S159" i="19"/>
  <c r="O159" i="19"/>
  <c r="N159" i="19"/>
  <c r="P159" i="19"/>
  <c r="Q159" i="19"/>
  <c r="H162" i="19"/>
  <c r="L160" i="19"/>
  <c r="M160" i="19"/>
  <c r="G160" i="19"/>
  <c r="L161" i="19" l="1"/>
  <c r="M161" i="19"/>
  <c r="G161" i="19"/>
  <c r="H163" i="19"/>
  <c r="N160" i="19"/>
  <c r="P160" i="19"/>
  <c r="S160" i="19"/>
  <c r="R160" i="19"/>
  <c r="O160" i="19"/>
  <c r="Q160" i="19"/>
  <c r="H164" i="19" l="1"/>
  <c r="G162" i="19"/>
  <c r="L162" i="19"/>
  <c r="M162" i="19"/>
  <c r="P161" i="19"/>
  <c r="S161" i="19"/>
  <c r="O161" i="19"/>
  <c r="Q161" i="19"/>
  <c r="R161" i="19"/>
  <c r="N161" i="19"/>
  <c r="R162" i="19" l="1"/>
  <c r="P162" i="19"/>
  <c r="O162" i="19"/>
  <c r="N162" i="19"/>
  <c r="Q162" i="19"/>
  <c r="S162" i="19"/>
  <c r="H165" i="19"/>
  <c r="M163" i="19"/>
  <c r="L163" i="19"/>
  <c r="G163" i="19"/>
  <c r="G164" i="19" l="1"/>
  <c r="L164" i="19"/>
  <c r="M164" i="19"/>
  <c r="H166" i="19"/>
  <c r="O163" i="19"/>
  <c r="Q163" i="19"/>
  <c r="N163" i="19"/>
  <c r="S163" i="19"/>
  <c r="P163" i="19"/>
  <c r="R163" i="19"/>
  <c r="H167" i="19" l="1"/>
  <c r="G165" i="19"/>
  <c r="L165" i="19"/>
  <c r="M165" i="19"/>
  <c r="N164" i="19"/>
  <c r="Q164" i="19"/>
  <c r="R164" i="19"/>
  <c r="S164" i="19"/>
  <c r="P164" i="19"/>
  <c r="O164" i="19"/>
  <c r="O165" i="19" l="1"/>
  <c r="N165" i="19"/>
  <c r="R165" i="19"/>
  <c r="S165" i="19"/>
  <c r="P165" i="19"/>
  <c r="Q165" i="19"/>
  <c r="H168" i="19"/>
  <c r="G166" i="19"/>
  <c r="L166" i="19"/>
  <c r="M166" i="19"/>
  <c r="H169" i="19" l="1"/>
  <c r="L167" i="19"/>
  <c r="G167" i="19"/>
  <c r="M167" i="19"/>
  <c r="N166" i="19"/>
  <c r="S166" i="19"/>
  <c r="R166" i="19"/>
  <c r="P166" i="19"/>
  <c r="O166" i="19"/>
  <c r="Q166" i="19"/>
  <c r="R167" i="19" l="1"/>
  <c r="O167" i="19"/>
  <c r="P167" i="19"/>
  <c r="S167" i="19"/>
  <c r="N167" i="19"/>
  <c r="Q167" i="19"/>
  <c r="H170" i="19"/>
  <c r="L168" i="19"/>
  <c r="G168" i="19"/>
  <c r="M168" i="19"/>
  <c r="L169" i="19" l="1"/>
  <c r="G169" i="19"/>
  <c r="M169" i="19"/>
  <c r="R168" i="19"/>
  <c r="S168" i="19"/>
  <c r="O168" i="19"/>
  <c r="P168" i="19"/>
  <c r="Q168" i="19"/>
  <c r="N168" i="19"/>
  <c r="H171" i="19"/>
  <c r="M170" i="19" l="1"/>
  <c r="L170" i="19"/>
  <c r="G170" i="19"/>
  <c r="H172" i="19"/>
  <c r="Q169" i="19"/>
  <c r="S169" i="19"/>
  <c r="O169" i="19"/>
  <c r="P169" i="19"/>
  <c r="N169" i="19"/>
  <c r="R169" i="19"/>
  <c r="M171" i="19" l="1"/>
  <c r="L171" i="19"/>
  <c r="G171" i="19"/>
  <c r="H173" i="19"/>
  <c r="Q170" i="19"/>
  <c r="R170" i="19"/>
  <c r="S170" i="19"/>
  <c r="N170" i="19"/>
  <c r="P170" i="19"/>
  <c r="O170" i="19"/>
  <c r="M172" i="19" l="1"/>
  <c r="L172" i="19"/>
  <c r="G172" i="19"/>
  <c r="H174" i="19"/>
  <c r="Q171" i="19"/>
  <c r="P171" i="19"/>
  <c r="O171" i="19"/>
  <c r="R171" i="19"/>
  <c r="N171" i="19"/>
  <c r="S171" i="19"/>
  <c r="M173" i="19" l="1"/>
  <c r="L173" i="19"/>
  <c r="G173" i="19"/>
  <c r="H175" i="19"/>
  <c r="Q172" i="19"/>
  <c r="O172" i="19"/>
  <c r="R172" i="19"/>
  <c r="N172" i="19"/>
  <c r="S172" i="19"/>
  <c r="P172" i="19"/>
  <c r="L174" i="19" l="1"/>
  <c r="M174" i="19"/>
  <c r="G174" i="19"/>
  <c r="H176" i="19"/>
  <c r="Q173" i="19"/>
  <c r="O173" i="19"/>
  <c r="N173" i="19"/>
  <c r="P173" i="19"/>
  <c r="S173" i="19"/>
  <c r="R173" i="19"/>
  <c r="H177" i="19" l="1"/>
  <c r="R174" i="19"/>
  <c r="N174" i="19"/>
  <c r="P174" i="19"/>
  <c r="O174" i="19"/>
  <c r="Q174" i="19"/>
  <c r="S174" i="19"/>
  <c r="G175" i="19"/>
  <c r="L175" i="19"/>
  <c r="M175" i="19"/>
  <c r="O175" i="19" l="1"/>
  <c r="P175" i="19"/>
  <c r="R175" i="19"/>
  <c r="Q175" i="19"/>
  <c r="N175" i="19"/>
  <c r="S175" i="19"/>
  <c r="H178" i="19"/>
  <c r="M176" i="19"/>
  <c r="L176" i="19"/>
  <c r="G176" i="19"/>
  <c r="L177" i="19" l="1"/>
  <c r="M177" i="19"/>
  <c r="G177" i="19"/>
  <c r="H179" i="19"/>
  <c r="N176" i="19"/>
  <c r="R176" i="19"/>
  <c r="P176" i="19"/>
  <c r="Q176" i="19"/>
  <c r="S176" i="19"/>
  <c r="O176" i="19"/>
  <c r="G178" i="19" l="1"/>
  <c r="L178" i="19"/>
  <c r="M178" i="19"/>
  <c r="S177" i="19"/>
  <c r="R177" i="19"/>
  <c r="O177" i="19"/>
  <c r="P177" i="19"/>
  <c r="N177" i="19"/>
  <c r="Q177" i="19"/>
  <c r="H180" i="19"/>
  <c r="P178" i="19" l="1"/>
  <c r="R178" i="19"/>
  <c r="O178" i="19"/>
  <c r="S178" i="19"/>
  <c r="N178" i="19"/>
  <c r="Q178" i="19"/>
  <c r="M179" i="19"/>
  <c r="L179" i="19"/>
  <c r="G179" i="19"/>
  <c r="H181" i="19"/>
  <c r="O179" i="19" l="1"/>
  <c r="S179" i="19"/>
  <c r="R179" i="19"/>
  <c r="N179" i="19"/>
  <c r="P179" i="19"/>
  <c r="Q179" i="19"/>
  <c r="H182" i="19"/>
  <c r="G180" i="19"/>
  <c r="L180" i="19"/>
  <c r="M180" i="19"/>
  <c r="H183" i="19" l="1"/>
  <c r="L181" i="19"/>
  <c r="G181" i="19"/>
  <c r="M181" i="19"/>
  <c r="N180" i="19"/>
  <c r="Q180" i="19"/>
  <c r="O180" i="19"/>
  <c r="S180" i="19"/>
  <c r="P180" i="19"/>
  <c r="R180" i="19"/>
  <c r="S181" i="19" l="1"/>
  <c r="P181" i="19"/>
  <c r="O181" i="19"/>
  <c r="N181" i="19"/>
  <c r="R181" i="19"/>
  <c r="Q181" i="19"/>
  <c r="L182" i="19"/>
  <c r="G182" i="19"/>
  <c r="M182" i="19"/>
  <c r="H184" i="19"/>
  <c r="H185" i="19" l="1"/>
  <c r="L183" i="19"/>
  <c r="M183" i="19"/>
  <c r="G183" i="19"/>
  <c r="Q182" i="19"/>
  <c r="O182" i="19"/>
  <c r="P182" i="19"/>
  <c r="N182" i="19"/>
  <c r="S182" i="19"/>
  <c r="R182" i="19"/>
  <c r="O183" i="19" l="1"/>
  <c r="S183" i="19"/>
  <c r="R183" i="19"/>
  <c r="P183" i="19"/>
  <c r="Q183" i="19"/>
  <c r="N183" i="19"/>
  <c r="H186" i="19"/>
  <c r="L184" i="19"/>
  <c r="M184" i="19"/>
  <c r="G184" i="19"/>
  <c r="H187" i="19" l="1"/>
  <c r="G185" i="19"/>
  <c r="M185" i="19"/>
  <c r="L185" i="19"/>
  <c r="S184" i="19"/>
  <c r="O184" i="19"/>
  <c r="R184" i="19"/>
  <c r="Q184" i="19"/>
  <c r="N184" i="19"/>
  <c r="P184" i="19"/>
  <c r="H188" i="19" l="1"/>
  <c r="R185" i="19"/>
  <c r="O185" i="19"/>
  <c r="S185" i="19"/>
  <c r="Q185" i="19"/>
  <c r="N185" i="19"/>
  <c r="P185" i="19"/>
  <c r="L186" i="19"/>
  <c r="M186" i="19"/>
  <c r="G186" i="19"/>
  <c r="H189" i="19" l="1"/>
  <c r="P186" i="19"/>
  <c r="Q186" i="19"/>
  <c r="S186" i="19"/>
  <c r="O186" i="19"/>
  <c r="R186" i="19"/>
  <c r="N186" i="19"/>
  <c r="G187" i="19"/>
  <c r="M187" i="19"/>
  <c r="L187" i="19"/>
  <c r="H190" i="19" l="1"/>
  <c r="R187" i="19"/>
  <c r="P187" i="19"/>
  <c r="O187" i="19"/>
  <c r="N187" i="19"/>
  <c r="S187" i="19"/>
  <c r="Q187" i="19"/>
  <c r="G188" i="19"/>
  <c r="M188" i="19"/>
  <c r="L188" i="19"/>
  <c r="H191" i="19" l="1"/>
  <c r="R188" i="19"/>
  <c r="Q188" i="19"/>
  <c r="O188" i="19"/>
  <c r="N188" i="19"/>
  <c r="P188" i="19"/>
  <c r="S188" i="19"/>
  <c r="G189" i="19"/>
  <c r="L189" i="19"/>
  <c r="M189" i="19"/>
  <c r="R189" i="19" l="1"/>
  <c r="N189" i="19"/>
  <c r="O189" i="19"/>
  <c r="Q189" i="19"/>
  <c r="P189" i="19"/>
  <c r="S189" i="19"/>
  <c r="H192" i="19"/>
  <c r="L190" i="19"/>
  <c r="M190" i="19"/>
  <c r="G190" i="19"/>
  <c r="M191" i="19" l="1"/>
  <c r="G191" i="19"/>
  <c r="L191" i="19"/>
  <c r="H193" i="19"/>
  <c r="R190" i="19"/>
  <c r="Q190" i="19"/>
  <c r="N190" i="19"/>
  <c r="O190" i="19"/>
  <c r="S190" i="19"/>
  <c r="P190" i="19"/>
  <c r="L192" i="19" l="1"/>
  <c r="G192" i="19"/>
  <c r="M192" i="19"/>
  <c r="H194" i="19"/>
  <c r="O191" i="19"/>
  <c r="R191" i="19"/>
  <c r="P191" i="19"/>
  <c r="S191" i="19"/>
  <c r="Q191" i="19"/>
  <c r="N191" i="19"/>
  <c r="M193" i="19" l="1"/>
  <c r="G193" i="19"/>
  <c r="L193" i="19"/>
  <c r="H195" i="19"/>
  <c r="R192" i="19"/>
  <c r="O192" i="19"/>
  <c r="Q192" i="19"/>
  <c r="N192" i="19"/>
  <c r="P192" i="19"/>
  <c r="S192" i="19"/>
  <c r="H196" i="19" l="1"/>
  <c r="G194" i="19"/>
  <c r="L194" i="19"/>
  <c r="M194" i="19"/>
  <c r="R193" i="19"/>
  <c r="O193" i="19"/>
  <c r="N193" i="19"/>
  <c r="S193" i="19"/>
  <c r="Q193" i="19"/>
  <c r="P193" i="19"/>
  <c r="R194" i="19" l="1"/>
  <c r="O194" i="19"/>
  <c r="N194" i="19"/>
  <c r="S194" i="19"/>
  <c r="Q194" i="19"/>
  <c r="P194" i="19"/>
  <c r="H197" i="19"/>
  <c r="M195" i="19"/>
  <c r="L195" i="19"/>
  <c r="G195" i="19"/>
  <c r="H198" i="19" l="1"/>
  <c r="G196" i="19"/>
  <c r="L196" i="19"/>
  <c r="M196" i="19"/>
  <c r="Q195" i="19"/>
  <c r="R195" i="19"/>
  <c r="N195" i="19"/>
  <c r="O195" i="19"/>
  <c r="S195" i="19"/>
  <c r="P195" i="19"/>
  <c r="R196" i="19" l="1"/>
  <c r="P196" i="19"/>
  <c r="O196" i="19"/>
  <c r="Q196" i="19"/>
  <c r="S196" i="19"/>
  <c r="N196" i="19"/>
  <c r="H199" i="19"/>
  <c r="G197" i="19"/>
  <c r="L197" i="19"/>
  <c r="M197" i="19"/>
  <c r="H200" i="19" l="1"/>
  <c r="O197" i="19"/>
  <c r="S197" i="19"/>
  <c r="Q197" i="19"/>
  <c r="P197" i="19"/>
  <c r="R197" i="19"/>
  <c r="N197" i="19"/>
  <c r="L198" i="19"/>
  <c r="G198" i="19"/>
  <c r="M198" i="19"/>
  <c r="S198" i="19" l="1"/>
  <c r="P198" i="19"/>
  <c r="N198" i="19"/>
  <c r="O198" i="19"/>
  <c r="R198" i="19"/>
  <c r="Q198" i="19"/>
  <c r="M199" i="19"/>
  <c r="G199" i="19"/>
  <c r="L199" i="19"/>
  <c r="H201" i="19"/>
  <c r="P199" i="19" l="1"/>
  <c r="S199" i="19"/>
  <c r="R199" i="19"/>
  <c r="N199" i="19"/>
  <c r="Q199" i="19"/>
  <c r="O199" i="19"/>
  <c r="H202" i="19"/>
  <c r="M200" i="19"/>
  <c r="L200" i="19"/>
  <c r="G200" i="19"/>
  <c r="H203" i="19" l="1"/>
  <c r="L201" i="19"/>
  <c r="M201" i="19"/>
  <c r="G201" i="19"/>
  <c r="O200" i="19"/>
  <c r="Q200" i="19"/>
  <c r="R200" i="19"/>
  <c r="N200" i="19"/>
  <c r="P200" i="19"/>
  <c r="S200" i="19"/>
  <c r="H204" i="19" l="1"/>
  <c r="Q201" i="19"/>
  <c r="P201" i="19"/>
  <c r="R201" i="19"/>
  <c r="O201" i="19"/>
  <c r="S201" i="19"/>
  <c r="N201" i="19"/>
  <c r="L202" i="19"/>
  <c r="G202" i="19"/>
  <c r="M202" i="19"/>
  <c r="P202" i="19" l="1"/>
  <c r="S202" i="19"/>
  <c r="Q202" i="19"/>
  <c r="R202" i="19"/>
  <c r="N202" i="19"/>
  <c r="O202" i="19"/>
  <c r="H205" i="19"/>
  <c r="M203" i="19"/>
  <c r="G203" i="19"/>
  <c r="L203" i="19"/>
  <c r="L204" i="19" l="1"/>
  <c r="G204" i="19"/>
  <c r="M204" i="19"/>
  <c r="H206" i="19"/>
  <c r="P203" i="19"/>
  <c r="S203" i="19"/>
  <c r="O203" i="19"/>
  <c r="R203" i="19"/>
  <c r="Q203" i="19"/>
  <c r="N203" i="19"/>
  <c r="H207" i="19" l="1"/>
  <c r="Q204" i="19"/>
  <c r="P204" i="19"/>
  <c r="O204" i="19"/>
  <c r="N204" i="19"/>
  <c r="R204" i="19"/>
  <c r="S204" i="19"/>
  <c r="L205" i="19"/>
  <c r="M205" i="19"/>
  <c r="G205" i="19"/>
  <c r="H208" i="19" l="1"/>
  <c r="S205" i="19"/>
  <c r="Q205" i="19"/>
  <c r="N205" i="19"/>
  <c r="O205" i="19"/>
  <c r="P205" i="19"/>
  <c r="R205" i="19"/>
  <c r="L206" i="19"/>
  <c r="G206" i="19"/>
  <c r="M206" i="19"/>
  <c r="Q206" i="19" l="1"/>
  <c r="R206" i="19"/>
  <c r="O206" i="19"/>
  <c r="S206" i="19"/>
  <c r="P206" i="19"/>
  <c r="N206" i="19"/>
  <c r="H209" i="19"/>
  <c r="G207" i="19"/>
  <c r="L207" i="19"/>
  <c r="M207" i="19"/>
  <c r="M208" i="19" l="1"/>
  <c r="L208" i="19"/>
  <c r="G208" i="19"/>
  <c r="O207" i="19"/>
  <c r="S207" i="19"/>
  <c r="R207" i="19"/>
  <c r="P207" i="19"/>
  <c r="N207" i="19"/>
  <c r="Q207" i="19"/>
  <c r="H210" i="19"/>
  <c r="G209" i="19" l="1"/>
  <c r="L209" i="19"/>
  <c r="M209" i="19"/>
  <c r="H211" i="19"/>
  <c r="Q208" i="19"/>
  <c r="R208" i="19"/>
  <c r="N208" i="19"/>
  <c r="S208" i="19"/>
  <c r="O208" i="19"/>
  <c r="P208" i="19"/>
  <c r="M210" i="19" l="1"/>
  <c r="L210" i="19"/>
  <c r="G210" i="19"/>
  <c r="N209" i="19"/>
  <c r="S209" i="19"/>
  <c r="O209" i="19"/>
  <c r="P209" i="19"/>
  <c r="Q209" i="19"/>
  <c r="R209" i="19"/>
  <c r="H212" i="19"/>
  <c r="L212" i="19" l="1"/>
  <c r="G212" i="19"/>
  <c r="M212" i="19"/>
  <c r="M211" i="19"/>
  <c r="L211" i="19"/>
  <c r="G211" i="19"/>
  <c r="O210" i="19"/>
  <c r="C21" i="18" s="1"/>
  <c r="J8" i="18" s="1"/>
  <c r="P210" i="19"/>
  <c r="C20" i="18" s="1"/>
  <c r="Q210" i="19"/>
  <c r="C23" i="18" s="1"/>
  <c r="N210" i="19"/>
  <c r="C22" i="18" s="1"/>
  <c r="R210" i="19"/>
  <c r="C24" i="18" s="1"/>
  <c r="S210" i="19"/>
  <c r="C25" i="18" s="1"/>
  <c r="C19" i="18" l="1"/>
  <c r="J11" i="18"/>
  <c r="E24" i="18"/>
  <c r="E20" i="18"/>
  <c r="J9" i="18"/>
  <c r="E21" i="18"/>
  <c r="D25" i="18"/>
  <c r="J7" i="18"/>
  <c r="E22" i="18"/>
  <c r="E23" i="18"/>
  <c r="J10" i="18"/>
  <c r="E37" i="18"/>
  <c r="C18" i="18"/>
  <c r="H26" i="18" l="1"/>
  <c r="D19" i="18"/>
  <c r="H27" i="18"/>
  <c r="H30" i="18"/>
  <c r="H25" i="18"/>
  <c r="B8" i="33"/>
  <c r="C26" i="18"/>
  <c r="D26" i="18" s="1"/>
  <c r="H31" i="18" s="1"/>
  <c r="H28" i="18"/>
  <c r="H29" i="18"/>
  <c r="K8" i="18"/>
  <c r="L8" i="18"/>
  <c r="M8" i="18" s="1"/>
  <c r="E39" i="18"/>
  <c r="B9" i="33" s="1"/>
  <c r="C1" i="19"/>
  <c r="K10" i="18"/>
  <c r="L10" i="18"/>
  <c r="M10" i="18" s="1"/>
  <c r="E36" i="18"/>
  <c r="E54" i="18"/>
  <c r="E55" i="18" s="1"/>
  <c r="E57" i="18" s="1"/>
  <c r="E58" i="18" s="1"/>
  <c r="E59" i="18" s="1"/>
  <c r="E67" i="18" s="1"/>
  <c r="L9" i="18"/>
  <c r="M9" i="18" s="1"/>
  <c r="K9" i="18"/>
  <c r="E25" i="18"/>
  <c r="L7" i="18"/>
  <c r="M7" i="18" s="1"/>
  <c r="K7" i="18"/>
  <c r="C26" i="13"/>
  <c r="K11" i="18"/>
  <c r="L11" i="18"/>
  <c r="M11" i="18" s="1"/>
  <c r="C8" i="33" l="1"/>
  <c r="B15" i="33"/>
  <c r="J13" i="18" s="1"/>
  <c r="H33" i="18"/>
  <c r="E26" i="18"/>
  <c r="C27" i="13"/>
  <c r="C28" i="13"/>
  <c r="F65" i="18"/>
  <c r="F67" i="18"/>
  <c r="I14" i="18" l="1"/>
  <c r="M14" i="18" s="1"/>
  <c r="D2" i="8"/>
  <c r="D1" i="9"/>
  <c r="I17" i="18"/>
  <c r="M13" i="18" s="1"/>
  <c r="E26" i="13"/>
  <c r="K13" i="18"/>
  <c r="I18" i="18" l="1"/>
  <c r="I15" i="18"/>
  <c r="I16" i="18"/>
  <c r="E28" i="13"/>
  <c r="C35" i="13" s="1"/>
  <c r="G31" i="36" s="1"/>
  <c r="C26" i="36" s="1"/>
  <c r="C27" i="36" s="1"/>
  <c r="E27" i="13"/>
  <c r="E31" i="36" l="1"/>
  <c r="C31" i="36" s="1"/>
  <c r="C31" i="13"/>
  <c r="C34" i="13"/>
  <c r="F33" i="13"/>
  <c r="E35" i="13"/>
  <c r="C37" i="13"/>
  <c r="C44" i="13" s="1"/>
  <c r="C46" i="13" s="1"/>
  <c r="C36" i="13"/>
  <c r="C30" i="32" s="1"/>
  <c r="G12" i="32" s="1"/>
  <c r="C28" i="36" l="1"/>
  <c r="C29" i="36" s="1"/>
  <c r="E34" i="13"/>
  <c r="C43" i="13"/>
  <c r="B21" i="33" s="1"/>
  <c r="D13" i="1" l="1"/>
  <c r="D12" i="1"/>
  <c r="E21" i="33"/>
  <c r="D21" i="33"/>
  <c r="D11" i="1" l="1"/>
  <c r="D10" i="1"/>
  <c r="B26" i="1"/>
  <c r="C26" i="1"/>
  <c r="F12" i="1"/>
  <c r="B27" i="1"/>
  <c r="D30" i="27"/>
  <c r="C26" i="33"/>
  <c r="D8" i="1" l="1"/>
  <c r="F8" i="1" s="1"/>
  <c r="F10" i="1"/>
  <c r="C6" i="32"/>
  <c r="B65" i="32"/>
  <c r="C46" i="30"/>
  <c r="C48" i="30" s="1"/>
  <c r="E55" i="32" l="1"/>
  <c r="D8" i="32" l="1"/>
  <c r="N8" i="32" l="1"/>
  <c r="L8" i="32"/>
  <c r="M8" i="32" s="1"/>
  <c r="G8" i="32"/>
  <c r="C50" i="32"/>
  <c r="E6" i="32"/>
  <c r="K6" i="32" s="1"/>
  <c r="E53" i="32" l="1"/>
  <c r="C53" i="32" s="1"/>
  <c r="G53" i="32" s="1"/>
  <c r="C45" i="32"/>
  <c r="E43" i="32"/>
  <c r="C32" i="32"/>
  <c r="E42" i="30" l="1"/>
  <c r="G2" i="1"/>
  <c r="C5" i="13" s="1"/>
  <c r="C6" i="13" s="1"/>
  <c r="F8" i="32" l="1"/>
  <c r="C51" i="32" l="1"/>
  <c r="C54" i="32" l="1"/>
  <c r="E51" i="32"/>
  <c r="C52" i="32"/>
  <c r="O8" i="32"/>
  <c r="E54" i="32" l="1"/>
  <c r="G54" i="32"/>
  <c r="D6" i="32"/>
  <c r="E27" i="32" l="1"/>
  <c r="L27" i="32"/>
  <c r="M27" i="32" s="1"/>
  <c r="N27" i="32"/>
  <c r="O27" i="32" s="1"/>
  <c r="C27" i="32" s="1"/>
  <c r="G27" i="32"/>
  <c r="F27" i="32" s="1"/>
  <c r="I6" i="32"/>
  <c r="J6" i="32" s="1"/>
  <c r="N6" i="32"/>
  <c r="L6" i="32"/>
  <c r="M6" i="32" s="1"/>
  <c r="G6" i="32"/>
  <c r="F6" i="32" s="1"/>
  <c r="E41" i="32"/>
  <c r="C41" i="32" s="1"/>
  <c r="C38" i="32"/>
  <c r="C10" i="1"/>
  <c r="I27" i="32" l="1"/>
  <c r="K27" i="32"/>
  <c r="G41" i="32"/>
  <c r="C47" i="32"/>
  <c r="G47" i="32" s="1"/>
  <c r="L7" i="32"/>
  <c r="N7" i="32" s="1"/>
  <c r="M7" i="32" l="1"/>
  <c r="O7" i="32"/>
  <c r="G7" i="32" s="1"/>
  <c r="E47" i="32"/>
  <c r="L9" i="32"/>
  <c r="C2" i="32"/>
  <c r="C9" i="1" s="1"/>
  <c r="C11" i="1" s="1"/>
  <c r="C39" i="32"/>
  <c r="E16" i="32" l="1"/>
  <c r="O6" i="32"/>
  <c r="C60" i="32"/>
  <c r="E60" i="32" s="1"/>
  <c r="E39" i="32"/>
  <c r="C42" i="32"/>
  <c r="C40" i="32"/>
  <c r="C48" i="32" s="1"/>
  <c r="E48" i="32" s="1"/>
  <c r="E40" i="32" l="1"/>
  <c r="G40" i="32"/>
  <c r="C46" i="32"/>
  <c r="E42" i="32"/>
  <c r="G42" i="32"/>
  <c r="C59" i="32"/>
  <c r="E59" i="32" s="1"/>
  <c r="G59" i="32" s="1"/>
  <c r="B9" i="32"/>
  <c r="B7" i="32"/>
  <c r="B66" i="32" s="1"/>
  <c r="B67" i="32" s="1"/>
  <c r="B68" i="32" s="1"/>
  <c r="B69" i="32" s="1"/>
  <c r="B70" i="32" s="1"/>
  <c r="B71" i="32" s="1"/>
  <c r="B72" i="32" s="1"/>
  <c r="B73" i="32" s="1"/>
  <c r="B74" i="32" s="1"/>
  <c r="B75" i="32" s="1"/>
  <c r="B76" i="32" s="1"/>
  <c r="B77" i="32" s="1"/>
  <c r="B78" i="32" s="1"/>
  <c r="B79" i="32" s="1"/>
  <c r="B80" i="32" s="1"/>
  <c r="B81" i="32" s="1"/>
  <c r="B82" i="32" l="1"/>
  <c r="B83" i="32" s="1"/>
  <c r="B84" i="32" s="1"/>
  <c r="B85" i="32" s="1"/>
  <c r="B86" i="32" s="1"/>
  <c r="B87" i="32" s="1"/>
  <c r="B88" i="32" s="1"/>
  <c r="B89" i="32" s="1"/>
  <c r="B90" i="32" s="1"/>
  <c r="B91" i="32" s="1"/>
  <c r="B92" i="32" s="1"/>
  <c r="B93" i="32" s="1"/>
  <c r="B94" i="32" s="1"/>
  <c r="B95" i="32" s="1"/>
  <c r="B96" i="32" s="1"/>
  <c r="C9" i="32"/>
  <c r="B8" i="32"/>
  <c r="C8" i="32" s="1"/>
  <c r="B10" i="32"/>
  <c r="G65" i="32"/>
  <c r="C7" i="32"/>
  <c r="B97" i="32" l="1"/>
  <c r="B98" i="32" s="1"/>
  <c r="B99" i="32" s="1"/>
  <c r="B100" i="32" s="1"/>
  <c r="B101" i="32" s="1"/>
  <c r="B102" i="32" s="1"/>
  <c r="B103" i="32" s="1"/>
  <c r="B104" i="32" s="1"/>
  <c r="B105" i="32" s="1"/>
  <c r="B106" i="32" s="1"/>
  <c r="B107" i="32" s="1"/>
  <c r="B108" i="32" s="1"/>
  <c r="B109" i="32" s="1"/>
  <c r="B110" i="32" s="1"/>
  <c r="B111" i="32" s="1"/>
  <c r="B112" i="32" s="1"/>
  <c r="B113" i="32" s="1"/>
  <c r="B114" i="32" s="1"/>
  <c r="M65" i="32"/>
  <c r="H65" i="32"/>
  <c r="C65" i="32"/>
  <c r="A66" i="32"/>
  <c r="G66" i="32"/>
  <c r="C10" i="32"/>
  <c r="B11" i="32"/>
  <c r="O10" i="32"/>
  <c r="A114" i="32" l="1"/>
  <c r="G114" i="32"/>
  <c r="B115" i="32"/>
  <c r="M66" i="32"/>
  <c r="I65" i="32"/>
  <c r="O65" i="32" s="1"/>
  <c r="L65" i="32" s="1"/>
  <c r="C66" i="32"/>
  <c r="I66" i="32" s="1"/>
  <c r="B14" i="32"/>
  <c r="C14" i="32" s="1"/>
  <c r="C11" i="32"/>
  <c r="B12" i="32"/>
  <c r="G10" i="32"/>
  <c r="C3" i="32" s="1"/>
  <c r="C16" i="32"/>
  <c r="A67" i="32"/>
  <c r="G67" i="32"/>
  <c r="H66" i="32"/>
  <c r="A115" i="32" l="1"/>
  <c r="G115" i="32"/>
  <c r="B116" i="32"/>
  <c r="C114" i="32"/>
  <c r="I114" i="32"/>
  <c r="H114" i="32"/>
  <c r="J114" i="32"/>
  <c r="M114" i="32"/>
  <c r="N65" i="32"/>
  <c r="K65" i="32"/>
  <c r="F65" i="32" s="1"/>
  <c r="M67" i="32"/>
  <c r="O66" i="32"/>
  <c r="L66" i="32" s="1"/>
  <c r="N66" i="32"/>
  <c r="H67" i="32"/>
  <c r="C19" i="1"/>
  <c r="C18" i="30"/>
  <c r="E17" i="30" s="1"/>
  <c r="B13" i="32"/>
  <c r="C13" i="32" s="1"/>
  <c r="C12" i="32"/>
  <c r="G16" i="32"/>
  <c r="G1" i="1"/>
  <c r="C2" i="13" s="1"/>
  <c r="C3" i="13" s="1"/>
  <c r="C61" i="32"/>
  <c r="E61" i="32" s="1"/>
  <c r="A68" i="32"/>
  <c r="G68" i="32"/>
  <c r="C67" i="32"/>
  <c r="I67" i="32" s="1"/>
  <c r="J65" i="32"/>
  <c r="N114" i="32" l="1"/>
  <c r="O114" i="32"/>
  <c r="A116" i="32"/>
  <c r="B117" i="32"/>
  <c r="G116" i="32"/>
  <c r="C116" i="32" s="1"/>
  <c r="C115" i="32"/>
  <c r="J115" i="32"/>
  <c r="H115" i="32"/>
  <c r="I115" i="32"/>
  <c r="M115" i="32"/>
  <c r="K66" i="32"/>
  <c r="F66" i="32" s="1"/>
  <c r="M68" i="32"/>
  <c r="C68" i="32"/>
  <c r="I68" i="32" s="1"/>
  <c r="O67" i="32"/>
  <c r="L67" i="32" s="1"/>
  <c r="N67" i="32"/>
  <c r="H68" i="32"/>
  <c r="D65" i="32"/>
  <c r="E65" i="32"/>
  <c r="A69" i="32"/>
  <c r="G69" i="32"/>
  <c r="J66" i="32"/>
  <c r="I116" i="32" l="1"/>
  <c r="J116" i="32"/>
  <c r="M116" i="32"/>
  <c r="H116" i="32"/>
  <c r="G117" i="32"/>
  <c r="C117" i="32" s="1"/>
  <c r="A117" i="32"/>
  <c r="B118" i="32"/>
  <c r="N115" i="32"/>
  <c r="O115" i="32"/>
  <c r="L114" i="32"/>
  <c r="K114" i="32" s="1"/>
  <c r="F114" i="32" s="1"/>
  <c r="M69" i="32"/>
  <c r="K67" i="32"/>
  <c r="F67" i="32" s="1"/>
  <c r="N68" i="32"/>
  <c r="O68" i="32"/>
  <c r="L68" i="32" s="1"/>
  <c r="A70" i="32"/>
  <c r="G70" i="32"/>
  <c r="H69" i="32"/>
  <c r="C69" i="32"/>
  <c r="I69" i="32" s="1"/>
  <c r="D66" i="32"/>
  <c r="E66" i="32"/>
  <c r="J67" i="32"/>
  <c r="D114" i="32" l="1"/>
  <c r="E114" i="32"/>
  <c r="N116" i="32"/>
  <c r="O116" i="32"/>
  <c r="H117" i="32"/>
  <c r="J117" i="32"/>
  <c r="I117" i="32"/>
  <c r="M117" i="32"/>
  <c r="L115" i="32"/>
  <c r="K115" i="32" s="1"/>
  <c r="F115" i="32" s="1"/>
  <c r="G118" i="32"/>
  <c r="A118" i="32"/>
  <c r="B119" i="32"/>
  <c r="M70" i="32"/>
  <c r="K68" i="32"/>
  <c r="F68" i="32" s="1"/>
  <c r="O69" i="32"/>
  <c r="L69" i="32" s="1"/>
  <c r="N69" i="32"/>
  <c r="E67" i="32"/>
  <c r="D67" i="32"/>
  <c r="A71" i="32"/>
  <c r="G71" i="32"/>
  <c r="H70" i="32"/>
  <c r="C70" i="32"/>
  <c r="I70" i="32" s="1"/>
  <c r="J68" i="32"/>
  <c r="E115" i="32" l="1"/>
  <c r="D115" i="32"/>
  <c r="N117" i="32"/>
  <c r="O117" i="32"/>
  <c r="L116" i="32"/>
  <c r="K116" i="32" s="1"/>
  <c r="F116" i="32" s="1"/>
  <c r="A119" i="32"/>
  <c r="B120" i="32"/>
  <c r="G119" i="32"/>
  <c r="C118" i="32"/>
  <c r="I118" i="32"/>
  <c r="J118" i="32"/>
  <c r="M118" i="32"/>
  <c r="H118" i="32"/>
  <c r="M71" i="32"/>
  <c r="K69" i="32"/>
  <c r="F69" i="32" s="1"/>
  <c r="N70" i="32"/>
  <c r="O70" i="32"/>
  <c r="L70" i="32" s="1"/>
  <c r="D68" i="32"/>
  <c r="E68" i="32"/>
  <c r="H71" i="32"/>
  <c r="C71" i="32"/>
  <c r="I71" i="32" s="1"/>
  <c r="A72" i="32"/>
  <c r="G72" i="32"/>
  <c r="J69" i="32"/>
  <c r="E116" i="32" l="1"/>
  <c r="D116" i="32"/>
  <c r="N118" i="32"/>
  <c r="O118" i="32"/>
  <c r="L117" i="32"/>
  <c r="K117" i="32" s="1"/>
  <c r="F117" i="32" s="1"/>
  <c r="C119" i="32"/>
  <c r="H119" i="32"/>
  <c r="M119" i="32"/>
  <c r="J119" i="32"/>
  <c r="I119" i="32"/>
  <c r="G120" i="32"/>
  <c r="B121" i="32"/>
  <c r="A120" i="32"/>
  <c r="K70" i="32"/>
  <c r="F70" i="32" s="1"/>
  <c r="M72" i="32"/>
  <c r="C72" i="32"/>
  <c r="I72" i="32" s="1"/>
  <c r="N71" i="32"/>
  <c r="O71" i="32"/>
  <c r="L71" i="32" s="1"/>
  <c r="A73" i="32"/>
  <c r="G73" i="32"/>
  <c r="D69" i="32"/>
  <c r="E69" i="32"/>
  <c r="H72" i="32"/>
  <c r="J70" i="32"/>
  <c r="D117" i="32" l="1"/>
  <c r="E117" i="32"/>
  <c r="L118" i="32"/>
  <c r="K118" i="32" s="1"/>
  <c r="F118" i="32" s="1"/>
  <c r="N119" i="32"/>
  <c r="O119" i="32"/>
  <c r="G121" i="32"/>
  <c r="A121" i="32"/>
  <c r="B122" i="32"/>
  <c r="C120" i="32"/>
  <c r="H120" i="32"/>
  <c r="J120" i="32"/>
  <c r="M120" i="32"/>
  <c r="I120" i="32"/>
  <c r="K71" i="32"/>
  <c r="F71" i="32" s="1"/>
  <c r="M73" i="32"/>
  <c r="O72" i="32"/>
  <c r="L72" i="32" s="1"/>
  <c r="N72" i="32"/>
  <c r="A74" i="32"/>
  <c r="G74" i="32"/>
  <c r="H73" i="32"/>
  <c r="D70" i="32"/>
  <c r="E70" i="32"/>
  <c r="C73" i="32"/>
  <c r="I73" i="32" s="1"/>
  <c r="J71" i="32"/>
  <c r="E118" i="32" l="1"/>
  <c r="D118" i="32"/>
  <c r="H121" i="32"/>
  <c r="J121" i="32"/>
  <c r="M121" i="32"/>
  <c r="I121" i="32"/>
  <c r="O120" i="32"/>
  <c r="N120" i="32"/>
  <c r="C121" i="32"/>
  <c r="L119" i="32"/>
  <c r="K119" i="32" s="1"/>
  <c r="F119" i="32" s="1"/>
  <c r="A122" i="32"/>
  <c r="B123" i="32"/>
  <c r="G122" i="32"/>
  <c r="K72" i="32"/>
  <c r="F72" i="32" s="1"/>
  <c r="M74" i="32"/>
  <c r="N73" i="32"/>
  <c r="O73" i="32"/>
  <c r="L73" i="32" s="1"/>
  <c r="J72" i="32"/>
  <c r="A75" i="32"/>
  <c r="G75" i="32"/>
  <c r="H74" i="32"/>
  <c r="C74" i="32"/>
  <c r="I74" i="32" s="1"/>
  <c r="D71" i="32"/>
  <c r="E71" i="32"/>
  <c r="D119" i="32" l="1"/>
  <c r="E119" i="32"/>
  <c r="I122" i="32"/>
  <c r="J122" i="32"/>
  <c r="M122" i="32"/>
  <c r="H122" i="32"/>
  <c r="O121" i="32"/>
  <c r="N121" i="32"/>
  <c r="G123" i="32"/>
  <c r="A123" i="32"/>
  <c r="C123" i="32"/>
  <c r="C122" i="32"/>
  <c r="L120" i="32"/>
  <c r="K120" i="32" s="1"/>
  <c r="F120" i="32" s="1"/>
  <c r="O74" i="32"/>
  <c r="L74" i="32" s="1"/>
  <c r="K74" i="32" s="1"/>
  <c r="K73" i="32"/>
  <c r="F73" i="32" s="1"/>
  <c r="M75" i="32"/>
  <c r="N74" i="32"/>
  <c r="H75" i="32"/>
  <c r="C75" i="32"/>
  <c r="I75" i="32" s="1"/>
  <c r="J73" i="32"/>
  <c r="A76" i="32"/>
  <c r="G76" i="32"/>
  <c r="E72" i="32"/>
  <c r="D72" i="32"/>
  <c r="E120" i="32" l="1"/>
  <c r="D120" i="32"/>
  <c r="J123" i="32"/>
  <c r="M123" i="32"/>
  <c r="H123" i="32"/>
  <c r="I123" i="32"/>
  <c r="O122" i="32"/>
  <c r="N122" i="32"/>
  <c r="L121" i="32"/>
  <c r="K121" i="32" s="1"/>
  <c r="F121" i="32" s="1"/>
  <c r="M76" i="32"/>
  <c r="O75" i="32"/>
  <c r="L75" i="32" s="1"/>
  <c r="N75" i="32"/>
  <c r="A77" i="32"/>
  <c r="G77" i="32"/>
  <c r="H76" i="32"/>
  <c r="D73" i="32"/>
  <c r="E73" i="32"/>
  <c r="C76" i="32"/>
  <c r="I76" i="32" s="1"/>
  <c r="J74" i="32"/>
  <c r="F74" i="32"/>
  <c r="D121" i="32" l="1"/>
  <c r="E121" i="32"/>
  <c r="L122" i="32"/>
  <c r="K122" i="32" s="1"/>
  <c r="F122" i="32" s="1"/>
  <c r="N123" i="32"/>
  <c r="O123" i="32"/>
  <c r="M77" i="32"/>
  <c r="K75" i="32"/>
  <c r="F75" i="32" s="1"/>
  <c r="N76" i="32"/>
  <c r="O76" i="32"/>
  <c r="L76" i="32" s="1"/>
  <c r="H77" i="32"/>
  <c r="A78" i="32"/>
  <c r="G78" i="32"/>
  <c r="J75" i="32"/>
  <c r="E74" i="32"/>
  <c r="D74" i="32"/>
  <c r="C77" i="32"/>
  <c r="I77" i="32" s="1"/>
  <c r="D122" i="32" l="1"/>
  <c r="E122" i="32"/>
  <c r="L123" i="32"/>
  <c r="K123" i="32" s="1"/>
  <c r="F123" i="32" s="1"/>
  <c r="A82" i="32"/>
  <c r="K76" i="32"/>
  <c r="F76" i="32" s="1"/>
  <c r="M78" i="32"/>
  <c r="C78" i="32"/>
  <c r="I78" i="32" s="1"/>
  <c r="N77" i="32"/>
  <c r="O77" i="32"/>
  <c r="L77" i="32" s="1"/>
  <c r="J76" i="32"/>
  <c r="E75" i="32"/>
  <c r="D75" i="32"/>
  <c r="A79" i="32"/>
  <c r="G79" i="32"/>
  <c r="H78" i="32"/>
  <c r="D123" i="32" l="1"/>
  <c r="E123" i="32"/>
  <c r="A83" i="32"/>
  <c r="M79" i="32"/>
  <c r="K77" i="32"/>
  <c r="F77" i="32" s="1"/>
  <c r="O78" i="32"/>
  <c r="L78" i="32" s="1"/>
  <c r="N78" i="32"/>
  <c r="C79" i="32"/>
  <c r="I79" i="32" s="1"/>
  <c r="J77" i="32"/>
  <c r="D76" i="32"/>
  <c r="E76" i="32"/>
  <c r="A80" i="32"/>
  <c r="G80" i="32"/>
  <c r="H79" i="32"/>
  <c r="A84" i="32" l="1"/>
  <c r="M80" i="32"/>
  <c r="K78" i="32"/>
  <c r="F78" i="32" s="1"/>
  <c r="N79" i="32"/>
  <c r="O79" i="32"/>
  <c r="L79" i="32" s="1"/>
  <c r="C80" i="32"/>
  <c r="I80" i="32" s="1"/>
  <c r="N80" i="32" s="1"/>
  <c r="A81" i="32"/>
  <c r="G81" i="32"/>
  <c r="J78" i="32"/>
  <c r="H80" i="32"/>
  <c r="D77" i="32"/>
  <c r="E77" i="32"/>
  <c r="C81" i="32" l="1"/>
  <c r="A85" i="32"/>
  <c r="K79" i="32"/>
  <c r="F79" i="32" s="1"/>
  <c r="M81" i="32"/>
  <c r="O80" i="32"/>
  <c r="L80" i="32" s="1"/>
  <c r="D78" i="32"/>
  <c r="E78" i="32"/>
  <c r="J79" i="32"/>
  <c r="G82" i="32"/>
  <c r="H81" i="32"/>
  <c r="I81" i="32"/>
  <c r="O81" i="32" s="1"/>
  <c r="L81" i="32" s="1"/>
  <c r="K80" i="32" l="1"/>
  <c r="F80" i="32" s="1"/>
  <c r="K81" i="32"/>
  <c r="M82" i="32"/>
  <c r="N81" i="32"/>
  <c r="H82" i="32"/>
  <c r="J80" i="32"/>
  <c r="E79" i="32"/>
  <c r="D79" i="32"/>
  <c r="G83" i="32"/>
  <c r="C82" i="32"/>
  <c r="I82" i="32" s="1"/>
  <c r="M83" i="32" l="1"/>
  <c r="O82" i="32"/>
  <c r="L82" i="32" s="1"/>
  <c r="K82" i="32" s="1"/>
  <c r="N82" i="32"/>
  <c r="H83" i="32"/>
  <c r="G84" i="32"/>
  <c r="E80" i="32"/>
  <c r="D80" i="32"/>
  <c r="C83" i="32"/>
  <c r="I83" i="32" s="1"/>
  <c r="F81" i="32"/>
  <c r="J81" i="32"/>
  <c r="M84" i="32" l="1"/>
  <c r="F82" i="32"/>
  <c r="O83" i="32"/>
  <c r="N83" i="32"/>
  <c r="C84" i="32"/>
  <c r="I84" i="32" s="1"/>
  <c r="D81" i="32"/>
  <c r="E81" i="32"/>
  <c r="J82" i="32"/>
  <c r="H84" i="32"/>
  <c r="G85" i="32"/>
  <c r="L83" i="32" l="1"/>
  <c r="K83" i="32" s="1"/>
  <c r="F83" i="32" s="1"/>
  <c r="M85" i="32"/>
  <c r="O84" i="32"/>
  <c r="L84" i="32" s="1"/>
  <c r="N84" i="32"/>
  <c r="J84" i="32" s="1"/>
  <c r="C85" i="32"/>
  <c r="I85" i="32" s="1"/>
  <c r="G86" i="32"/>
  <c r="A86" i="32"/>
  <c r="H85" i="32"/>
  <c r="J83" i="32"/>
  <c r="D82" i="32"/>
  <c r="E82" i="32"/>
  <c r="C86" i="32" l="1"/>
  <c r="M86" i="32"/>
  <c r="K84" i="32"/>
  <c r="F84" i="32" s="1"/>
  <c r="I86" i="32"/>
  <c r="N85" i="32"/>
  <c r="J85" i="32" s="1"/>
  <c r="O85" i="32"/>
  <c r="L85" i="32" s="1"/>
  <c r="D83" i="32"/>
  <c r="E83" i="32"/>
  <c r="A87" i="32"/>
  <c r="G87" i="32"/>
  <c r="H86" i="32"/>
  <c r="E84" i="32" l="1"/>
  <c r="D84" i="32"/>
  <c r="M87" i="32"/>
  <c r="K85" i="32"/>
  <c r="F85" i="32" s="1"/>
  <c r="D85" i="32" s="1"/>
  <c r="N86" i="32"/>
  <c r="J86" i="32" s="1"/>
  <c r="O86" i="32"/>
  <c r="L86" i="32" s="1"/>
  <c r="H87" i="32"/>
  <c r="C87" i="32"/>
  <c r="I87" i="32" s="1"/>
  <c r="A88" i="32"/>
  <c r="G88" i="32"/>
  <c r="E85" i="32" l="1"/>
  <c r="K86" i="32"/>
  <c r="F86" i="32" s="1"/>
  <c r="M88" i="32"/>
  <c r="N87" i="32"/>
  <c r="J87" i="32" s="1"/>
  <c r="O87" i="32"/>
  <c r="L87" i="32" s="1"/>
  <c r="H88" i="32"/>
  <c r="A89" i="32"/>
  <c r="G89" i="32"/>
  <c r="C88" i="32"/>
  <c r="I88" i="32" s="1"/>
  <c r="D86" i="32" l="1"/>
  <c r="E86" i="32"/>
  <c r="M89" i="32"/>
  <c r="K87" i="32"/>
  <c r="F87" i="32" s="1"/>
  <c r="C89" i="32"/>
  <c r="I89" i="32" s="1"/>
  <c r="N88" i="32"/>
  <c r="J88" i="32" s="1"/>
  <c r="O88" i="32"/>
  <c r="L88" i="32" s="1"/>
  <c r="G90" i="32"/>
  <c r="A90" i="32"/>
  <c r="H89" i="32"/>
  <c r="D87" i="32" l="1"/>
  <c r="E87" i="32"/>
  <c r="M90" i="32"/>
  <c r="K88" i="32"/>
  <c r="F88" i="32" s="1"/>
  <c r="N89" i="32"/>
  <c r="J89" i="32" s="1"/>
  <c r="O89" i="32"/>
  <c r="L89" i="32" s="1"/>
  <c r="H90" i="32"/>
  <c r="C90" i="32"/>
  <c r="I90" i="32" s="1"/>
  <c r="A91" i="32"/>
  <c r="G91" i="32"/>
  <c r="E88" i="32" l="1"/>
  <c r="D88" i="32"/>
  <c r="M91" i="32"/>
  <c r="A93" i="32"/>
  <c r="G93" i="32"/>
  <c r="K89" i="32"/>
  <c r="F89" i="32" s="1"/>
  <c r="E89" i="32" s="1"/>
  <c r="C91" i="32"/>
  <c r="I91" i="32" s="1"/>
  <c r="N90" i="32"/>
  <c r="J90" i="32" s="1"/>
  <c r="O90" i="32"/>
  <c r="L90" i="32" s="1"/>
  <c r="A92" i="32"/>
  <c r="G92" i="32"/>
  <c r="H91" i="32"/>
  <c r="C93" i="32" l="1"/>
  <c r="K90" i="32"/>
  <c r="F90" i="32" s="1"/>
  <c r="M92" i="32"/>
  <c r="D89" i="32"/>
  <c r="G94" i="32"/>
  <c r="A94" i="32"/>
  <c r="I93" i="32"/>
  <c r="H93" i="32"/>
  <c r="M93" i="32"/>
  <c r="J93" i="32"/>
  <c r="O91" i="32"/>
  <c r="L91" i="32" s="1"/>
  <c r="N91" i="32"/>
  <c r="J91" i="32" s="1"/>
  <c r="H92" i="32"/>
  <c r="C92" i="32"/>
  <c r="I92" i="32" s="1"/>
  <c r="D90" i="32" l="1"/>
  <c r="E90" i="32"/>
  <c r="H94" i="32"/>
  <c r="M94" i="32"/>
  <c r="C94" i="32"/>
  <c r="I94" i="32" s="1"/>
  <c r="K91" i="32"/>
  <c r="F91" i="32" s="1"/>
  <c r="N93" i="32"/>
  <c r="O93" i="32"/>
  <c r="G95" i="32"/>
  <c r="A95" i="32"/>
  <c r="C95" i="32"/>
  <c r="I95" i="32" s="1"/>
  <c r="N92" i="32"/>
  <c r="J92" i="32" s="1"/>
  <c r="O92" i="32"/>
  <c r="L92" i="32" s="1"/>
  <c r="L93" i="32" l="1"/>
  <c r="K93" i="32" s="1"/>
  <c r="F93" i="32" s="1"/>
  <c r="E91" i="32"/>
  <c r="D91" i="32"/>
  <c r="N94" i="32"/>
  <c r="J94" i="32" s="1"/>
  <c r="O94" i="32"/>
  <c r="K92" i="32"/>
  <c r="F92" i="32" s="1"/>
  <c r="H95" i="32"/>
  <c r="M95" i="32"/>
  <c r="G96" i="32"/>
  <c r="A96" i="32"/>
  <c r="D93" i="32" l="1"/>
  <c r="E93" i="32"/>
  <c r="L94" i="32"/>
  <c r="K94" i="32" s="1"/>
  <c r="F94" i="32" s="1"/>
  <c r="C96" i="32"/>
  <c r="E92" i="32"/>
  <c r="D92" i="32"/>
  <c r="A97" i="32"/>
  <c r="G97" i="32"/>
  <c r="N95" i="32"/>
  <c r="J95" i="32" s="1"/>
  <c r="O95" i="32"/>
  <c r="M96" i="32"/>
  <c r="I96" i="32"/>
  <c r="H96" i="32"/>
  <c r="D94" i="32" l="1"/>
  <c r="E94" i="32"/>
  <c r="L95" i="32"/>
  <c r="K95" i="32" s="1"/>
  <c r="F95" i="32" s="1"/>
  <c r="C97" i="32"/>
  <c r="I97" i="32"/>
  <c r="M97" i="32"/>
  <c r="H97" i="32"/>
  <c r="A98" i="32"/>
  <c r="G98" i="32"/>
  <c r="N96" i="32"/>
  <c r="J96" i="32" s="1"/>
  <c r="O96" i="32"/>
  <c r="D95" i="32" l="1"/>
  <c r="E95" i="32"/>
  <c r="L96" i="32"/>
  <c r="K96" i="32" s="1"/>
  <c r="F96" i="32" s="1"/>
  <c r="C98" i="32"/>
  <c r="I98" i="32"/>
  <c r="H98" i="32"/>
  <c r="M98" i="32"/>
  <c r="N97" i="32"/>
  <c r="J97" i="32" s="1"/>
  <c r="O97" i="32"/>
  <c r="G99" i="32"/>
  <c r="A99" i="32"/>
  <c r="E96" i="32" l="1"/>
  <c r="D96" i="32"/>
  <c r="L97" i="32"/>
  <c r="K97" i="32" s="1"/>
  <c r="F97" i="32" s="1"/>
  <c r="M99" i="32"/>
  <c r="H99" i="32"/>
  <c r="N98" i="32"/>
  <c r="J98" i="32" s="1"/>
  <c r="O98" i="32"/>
  <c r="C99" i="32"/>
  <c r="I99" i="32" s="1"/>
  <c r="A100" i="32"/>
  <c r="G100" i="32"/>
  <c r="E97" i="32" l="1"/>
  <c r="D97" i="32"/>
  <c r="L98" i="32"/>
  <c r="K98" i="32" s="1"/>
  <c r="F98" i="32" s="1"/>
  <c r="A101" i="32"/>
  <c r="G101" i="32"/>
  <c r="C100" i="32"/>
  <c r="I100" i="32" s="1"/>
  <c r="H100" i="32"/>
  <c r="M100" i="32"/>
  <c r="O99" i="32"/>
  <c r="N99" i="32"/>
  <c r="J99" i="32" s="1"/>
  <c r="D98" i="32" l="1"/>
  <c r="E98" i="32"/>
  <c r="C101" i="32"/>
  <c r="I101" i="32" s="1"/>
  <c r="L99" i="32"/>
  <c r="K99" i="32" s="1"/>
  <c r="F99" i="32" s="1"/>
  <c r="M101" i="32"/>
  <c r="H101" i="32"/>
  <c r="A102" i="32"/>
  <c r="G102" i="32"/>
  <c r="O100" i="32"/>
  <c r="N100" i="32"/>
  <c r="J100" i="32" s="1"/>
  <c r="E99" i="32" l="1"/>
  <c r="D99" i="32"/>
  <c r="L100" i="32"/>
  <c r="K100" i="32" s="1"/>
  <c r="F100" i="32" s="1"/>
  <c r="C102" i="32"/>
  <c r="I102" i="32" s="1"/>
  <c r="O101" i="32"/>
  <c r="N101" i="32"/>
  <c r="J101" i="32" s="1"/>
  <c r="G103" i="32"/>
  <c r="A103" i="32"/>
  <c r="M102" i="32"/>
  <c r="H102" i="32"/>
  <c r="D100" i="32" l="1"/>
  <c r="E100" i="32"/>
  <c r="L101" i="32"/>
  <c r="K101" i="32" s="1"/>
  <c r="F101" i="32" s="1"/>
  <c r="C103" i="32"/>
  <c r="I103" i="32" s="1"/>
  <c r="O102" i="32"/>
  <c r="N102" i="32"/>
  <c r="J102" i="32" s="1"/>
  <c r="A104" i="32"/>
  <c r="G104" i="32"/>
  <c r="M103" i="32"/>
  <c r="H103" i="32"/>
  <c r="D101" i="32" l="1"/>
  <c r="E101" i="32"/>
  <c r="L102" i="32"/>
  <c r="K102" i="32" s="1"/>
  <c r="F102" i="32" s="1"/>
  <c r="M104" i="32"/>
  <c r="H104" i="32"/>
  <c r="C104" i="32"/>
  <c r="I104" i="32" s="1"/>
  <c r="O103" i="32"/>
  <c r="N103" i="32"/>
  <c r="J103" i="32" s="1"/>
  <c r="A105" i="32"/>
  <c r="G105" i="32"/>
  <c r="D102" i="32" l="1"/>
  <c r="E102" i="32"/>
  <c r="C105" i="32"/>
  <c r="I105" i="32" s="1"/>
  <c r="L103" i="32"/>
  <c r="K103" i="32" s="1"/>
  <c r="F103" i="32" s="1"/>
  <c r="M105" i="32"/>
  <c r="H105" i="32"/>
  <c r="N104" i="32"/>
  <c r="J104" i="32" s="1"/>
  <c r="O104" i="32"/>
  <c r="A106" i="32"/>
  <c r="G106" i="32"/>
  <c r="E103" i="32" l="1"/>
  <c r="D103" i="32"/>
  <c r="C106" i="32"/>
  <c r="I106" i="32" s="1"/>
  <c r="L104" i="32"/>
  <c r="K104" i="32" s="1"/>
  <c r="F104" i="32" s="1"/>
  <c r="G107" i="32"/>
  <c r="A107" i="32"/>
  <c r="C107" i="32"/>
  <c r="I107" i="32" s="1"/>
  <c r="O105" i="32"/>
  <c r="N105" i="32"/>
  <c r="J105" i="32" s="1"/>
  <c r="M106" i="32"/>
  <c r="H106" i="32"/>
  <c r="D104" i="32" l="1"/>
  <c r="E104" i="32"/>
  <c r="L105" i="32"/>
  <c r="K105" i="32" s="1"/>
  <c r="F105" i="32" s="1"/>
  <c r="M107" i="32"/>
  <c r="H107" i="32"/>
  <c r="N106" i="32"/>
  <c r="J106" i="32" s="1"/>
  <c r="O106" i="32"/>
  <c r="A108" i="32"/>
  <c r="G108" i="32"/>
  <c r="E105" i="32" l="1"/>
  <c r="D105" i="32"/>
  <c r="L106" i="32"/>
  <c r="K106" i="32" s="1"/>
  <c r="F106" i="32" s="1"/>
  <c r="M108" i="32"/>
  <c r="H108" i="32"/>
  <c r="C108" i="32"/>
  <c r="I108" i="32" s="1"/>
  <c r="O107" i="32"/>
  <c r="N107" i="32"/>
  <c r="J107" i="32" s="1"/>
  <c r="G109" i="32"/>
  <c r="A109" i="32"/>
  <c r="C109" i="32"/>
  <c r="I109" i="32" s="1"/>
  <c r="E106" i="32" l="1"/>
  <c r="D106" i="32"/>
  <c r="L107" i="32"/>
  <c r="K107" i="32" s="1"/>
  <c r="F107" i="32" s="1"/>
  <c r="M109" i="32"/>
  <c r="H109" i="32"/>
  <c r="N108" i="32"/>
  <c r="J108" i="32" s="1"/>
  <c r="O108" i="32"/>
  <c r="A110" i="32"/>
  <c r="G110" i="32"/>
  <c r="E107" i="32" l="1"/>
  <c r="D107" i="32"/>
  <c r="C110" i="32"/>
  <c r="I110" i="32" s="1"/>
  <c r="L108" i="32"/>
  <c r="K108" i="32" s="1"/>
  <c r="F108" i="32" s="1"/>
  <c r="N109" i="32"/>
  <c r="J109" i="32" s="1"/>
  <c r="O109" i="32"/>
  <c r="M110" i="32"/>
  <c r="H110" i="32"/>
  <c r="G111" i="32"/>
  <c r="A111" i="32"/>
  <c r="E108" i="32" l="1"/>
  <c r="D108" i="32"/>
  <c r="L109" i="32"/>
  <c r="K109" i="32" s="1"/>
  <c r="F109" i="32" s="1"/>
  <c r="M111" i="32"/>
  <c r="H111" i="32"/>
  <c r="N110" i="32"/>
  <c r="J110" i="32" s="1"/>
  <c r="O110" i="32"/>
  <c r="C111" i="32"/>
  <c r="I111" i="32" s="1"/>
  <c r="A112" i="32"/>
  <c r="G112" i="32"/>
  <c r="D109" i="32" l="1"/>
  <c r="E109" i="32"/>
  <c r="C112" i="32"/>
  <c r="I112" i="32" s="1"/>
  <c r="L110" i="32"/>
  <c r="K110" i="32" s="1"/>
  <c r="F110" i="32" s="1"/>
  <c r="N111" i="32"/>
  <c r="J111" i="32" s="1"/>
  <c r="O111" i="32"/>
  <c r="M112" i="32"/>
  <c r="H112" i="32"/>
  <c r="G113" i="32"/>
  <c r="A113" i="32"/>
  <c r="E110" i="32" l="1"/>
  <c r="D110" i="32"/>
  <c r="L111" i="32"/>
  <c r="K111" i="32" s="1"/>
  <c r="F111" i="32" s="1"/>
  <c r="O112" i="32"/>
  <c r="N112" i="32"/>
  <c r="J112" i="32" s="1"/>
  <c r="M113" i="32"/>
  <c r="H113" i="32"/>
  <c r="C113" i="32"/>
  <c r="I113" i="32" s="1"/>
  <c r="E111" i="32" l="1"/>
  <c r="D111" i="32"/>
  <c r="L112" i="32"/>
  <c r="K112" i="32" s="1"/>
  <c r="F112" i="32" s="1"/>
  <c r="O113" i="32"/>
  <c r="N113" i="32"/>
  <c r="J113" i="32" s="1"/>
  <c r="E112" i="32" l="1"/>
  <c r="D112" i="32"/>
  <c r="L113" i="32"/>
  <c r="K113" i="32" s="1"/>
  <c r="F113" i="32" s="1"/>
  <c r="E113" i="32" l="1"/>
  <c r="D113" i="32"/>
</calcChain>
</file>

<file path=xl/sharedStrings.xml><?xml version="1.0" encoding="utf-8"?>
<sst xmlns="http://schemas.openxmlformats.org/spreadsheetml/2006/main" count="1402" uniqueCount="963">
  <si>
    <t>Light Year</t>
  </si>
  <si>
    <t>Accelleration Rate:</t>
  </si>
  <si>
    <t>m</t>
  </si>
  <si>
    <t>m/s/s</t>
  </si>
  <si>
    <t>s</t>
  </si>
  <si>
    <t>year</t>
  </si>
  <si>
    <t>Accelleration</t>
  </si>
  <si>
    <t>Seconds in year</t>
  </si>
  <si>
    <t>G</t>
  </si>
  <si>
    <t>dt</t>
  </si>
  <si>
    <t>Year</t>
  </si>
  <si>
    <t>Speed of Light</t>
  </si>
  <si>
    <t>Total</t>
  </si>
  <si>
    <t>Soil Depth</t>
  </si>
  <si>
    <t>m^2</t>
  </si>
  <si>
    <t>Beam Capacity</t>
  </si>
  <si>
    <t>Mass per m</t>
  </si>
  <si>
    <t>kg/m</t>
  </si>
  <si>
    <t>Soil Mass</t>
  </si>
  <si>
    <t>Propulsion System</t>
  </si>
  <si>
    <t>Mass of eros</t>
  </si>
  <si>
    <t>million m^2</t>
  </si>
  <si>
    <t>American football fields</t>
  </si>
  <si>
    <t>Acres</t>
  </si>
  <si>
    <t>Square Miles</t>
  </si>
  <si>
    <t>DT</t>
  </si>
  <si>
    <t>Peak</t>
  </si>
  <si>
    <t>Min</t>
  </si>
  <si>
    <t>Final</t>
  </si>
  <si>
    <t>M/F Ratio</t>
  </si>
  <si>
    <t>Survival Rate</t>
  </si>
  <si>
    <t>Children</t>
  </si>
  <si>
    <t>Pop Max</t>
  </si>
  <si>
    <t>Pop Start</t>
  </si>
  <si>
    <t>kg</t>
  </si>
  <si>
    <t>Mass of ceres</t>
  </si>
  <si>
    <t>e = m c^2</t>
  </si>
  <si>
    <t>https://f4e.europa.eu/understandingfusion/merits.aspx</t>
  </si>
  <si>
    <t>Impulse</t>
  </si>
  <si>
    <t>Lithium</t>
  </si>
  <si>
    <t>https://www.space.com/37146-nuclear-fusion-rockets-interstellar-spaceflight.html</t>
  </si>
  <si>
    <t>Goal: 1 kW/kg fusion</t>
  </si>
  <si>
    <t>Dry Mass</t>
  </si>
  <si>
    <t>Fuel Mass Estimate</t>
  </si>
  <si>
    <t>Nimitz Class Carriers</t>
  </si>
  <si>
    <t>Agriculture Calculations</t>
  </si>
  <si>
    <t>Graze Area</t>
  </si>
  <si>
    <t>km^2</t>
  </si>
  <si>
    <t>Max Dense</t>
  </si>
  <si>
    <t>Calf</t>
  </si>
  <si>
    <t>Oxen</t>
  </si>
  <si>
    <t>Cow</t>
  </si>
  <si>
    <t>Bull</t>
  </si>
  <si>
    <t>Heifer</t>
  </si>
  <si>
    <t>Year:</t>
  </si>
  <si>
    <t>calf</t>
  </si>
  <si>
    <t>Ox</t>
  </si>
  <si>
    <t>Cultivation</t>
  </si>
  <si>
    <t>https://en.wikipedia.org/wiki/Carucate</t>
  </si>
  <si>
    <t>Total Area:</t>
  </si>
  <si>
    <t>Oxen:</t>
  </si>
  <si>
    <t>https://www.drovers.com/article/breeding-season-bull-management</t>
  </si>
  <si>
    <t>Cows</t>
  </si>
  <si>
    <t>Bulls</t>
  </si>
  <si>
    <t>cow:bull</t>
  </si>
  <si>
    <t>Cull bull</t>
  </si>
  <si>
    <t>Cull Cow</t>
  </si>
  <si>
    <t>Beef Production</t>
  </si>
  <si>
    <t>Cull Ox</t>
  </si>
  <si>
    <t>Delta</t>
  </si>
  <si>
    <t>Harvest</t>
  </si>
  <si>
    <t>Target Population</t>
  </si>
  <si>
    <t>Milk</t>
  </si>
  <si>
    <t>Cow/Bull Ratio</t>
  </si>
  <si>
    <t>Steer</t>
  </si>
  <si>
    <t>Target Dairy:</t>
  </si>
  <si>
    <t>Beef / Head</t>
  </si>
  <si>
    <t>Target Beef/capita:</t>
  </si>
  <si>
    <t>Replacement Rate (Ox, Steer)</t>
  </si>
  <si>
    <t>Replacement Rate (Cow, Bull)</t>
  </si>
  <si>
    <t>https://en.wikipedia.org/wiki/List_of_countries_by_milk_consumption_per_capita</t>
  </si>
  <si>
    <t>kg/capita/year</t>
  </si>
  <si>
    <t>head</t>
  </si>
  <si>
    <t>Milk / Cow</t>
  </si>
  <si>
    <t>kg/cow/day</t>
  </si>
  <si>
    <t>Human Population</t>
  </si>
  <si>
    <t>Crops</t>
  </si>
  <si>
    <t>Wheat</t>
  </si>
  <si>
    <t>kg Per Capita</t>
  </si>
  <si>
    <t>kg / Hectare</t>
  </si>
  <si>
    <t>Potato</t>
  </si>
  <si>
    <t>Barley</t>
  </si>
  <si>
    <t>Total Area utilized</t>
  </si>
  <si>
    <t>Cotton</t>
  </si>
  <si>
    <t>Bamboo</t>
  </si>
  <si>
    <t>Apples</t>
  </si>
  <si>
    <t>Other Fruit</t>
  </si>
  <si>
    <t>Peanuts</t>
  </si>
  <si>
    <t>http://www.prep-blog.com/2013/04/18/survival-gardening-the-most-productive-calorie-crops/</t>
  </si>
  <si>
    <t>Amaranth</t>
  </si>
  <si>
    <t>Soybeans</t>
  </si>
  <si>
    <t>Quinoa</t>
  </si>
  <si>
    <t>Garlic</t>
  </si>
  <si>
    <t>http://www.projectrho.com/public_html/rocket/enginelist.php</t>
  </si>
  <si>
    <t>Radius</t>
  </si>
  <si>
    <t>km^2/acre</t>
  </si>
  <si>
    <t>km^2/hectare</t>
  </si>
  <si>
    <t>head/hectar</t>
  </si>
  <si>
    <t>Cocoa</t>
  </si>
  <si>
    <t>Coffee</t>
  </si>
  <si>
    <t>Tea</t>
  </si>
  <si>
    <t>grapes</t>
  </si>
  <si>
    <t>au</t>
  </si>
  <si>
    <t>hectare</t>
  </si>
  <si>
    <t>kg/person</t>
  </si>
  <si>
    <t>Cattle Range:</t>
  </si>
  <si>
    <t>Crops Range:</t>
  </si>
  <si>
    <t>Settlement Area:</t>
  </si>
  <si>
    <t>Plow</t>
  </si>
  <si>
    <t>Total allocated Area:</t>
  </si>
  <si>
    <t>Population</t>
  </si>
  <si>
    <t>Per Capita Usage</t>
  </si>
  <si>
    <t>Average Power Usage</t>
  </si>
  <si>
    <t>Efficiency</t>
  </si>
  <si>
    <t>Watt per kg</t>
  </si>
  <si>
    <t>Power System</t>
  </si>
  <si>
    <t>Safety Factor</t>
  </si>
  <si>
    <t>Mission Length</t>
  </si>
  <si>
    <t>Survival Duration</t>
  </si>
  <si>
    <t>kg/w</t>
  </si>
  <si>
    <t>Fuel / mW</t>
  </si>
  <si>
    <t>7 billion kwh / 3100kg fuel</t>
  </si>
  <si>
    <t>kg/kwH</t>
  </si>
  <si>
    <t>(Assuming equivilent to early 21st century Iceland)</t>
  </si>
  <si>
    <t>kwH/yr</t>
  </si>
  <si>
    <t>Lighting Power Usage</t>
  </si>
  <si>
    <t>w</t>
  </si>
  <si>
    <t>kwh/yr -&gt; watt</t>
  </si>
  <si>
    <t>kg/kwh</t>
  </si>
  <si>
    <t>Hours/year</t>
  </si>
  <si>
    <t>Fusion Fuel Usage</t>
  </si>
  <si>
    <t>Lighting Mass / w</t>
  </si>
  <si>
    <t>kg/watt</t>
  </si>
  <si>
    <t>Fusion Power Mass</t>
  </si>
  <si>
    <t>Power System Fuel / yr</t>
  </si>
  <si>
    <t>Total Power System Fuel Mass:</t>
  </si>
  <si>
    <t>Lighting System Mass</t>
  </si>
  <si>
    <t>Nimitz Carrier</t>
  </si>
  <si>
    <t>Nimitz carrier is 1.046 million long tons</t>
  </si>
  <si>
    <t>Mole</t>
  </si>
  <si>
    <t>Heavy Water</t>
  </si>
  <si>
    <t>Moles</t>
  </si>
  <si>
    <t>Computer Center</t>
  </si>
  <si>
    <t>Assuming Dexter cows and some minor technology tweaks</t>
  </si>
  <si>
    <t>Hypothetical 250kg cow that yields 75% meat</t>
  </si>
  <si>
    <t>Lower output than standard</t>
  </si>
  <si>
    <t>Seeweed</t>
  </si>
  <si>
    <t>kg/capita</t>
  </si>
  <si>
    <t>Water Depth</t>
  </si>
  <si>
    <t>Tuna</t>
  </si>
  <si>
    <t>Consumption</t>
  </si>
  <si>
    <t>Harvest Age</t>
  </si>
  <si>
    <t>salmon</t>
  </si>
  <si>
    <t>tilapia</t>
  </si>
  <si>
    <t>cod</t>
  </si>
  <si>
    <t>carp</t>
  </si>
  <si>
    <t>trout</t>
  </si>
  <si>
    <t>marine</t>
  </si>
  <si>
    <t>yes</t>
  </si>
  <si>
    <t>no</t>
  </si>
  <si>
    <t>Fish Per capita</t>
  </si>
  <si>
    <t>Density</t>
  </si>
  <si>
    <t>Tank Size</t>
  </si>
  <si>
    <t>m^3</t>
  </si>
  <si>
    <t>kg/m^3</t>
  </si>
  <si>
    <t>Mass of Meat</t>
  </si>
  <si>
    <t>Meat Yeild</t>
  </si>
  <si>
    <t>Mass of Fish</t>
  </si>
  <si>
    <t>m^2/person</t>
  </si>
  <si>
    <t>kilogram of oil (kgoe)</t>
  </si>
  <si>
    <t>kJ/kg</t>
  </si>
  <si>
    <t>kwh</t>
  </si>
  <si>
    <t>Agriculture Work</t>
  </si>
  <si>
    <t>http://www.fao.org/docrep/003/X8054E/x8054e05.htm</t>
  </si>
  <si>
    <t>kwh/hectare</t>
  </si>
  <si>
    <t>Area</t>
  </si>
  <si>
    <t>Feed/year</t>
  </si>
  <si>
    <t>Forage/Day/AU</t>
  </si>
  <si>
    <t>Kale</t>
  </si>
  <si>
    <t>Livestock Forage</t>
  </si>
  <si>
    <t>Cow population density assuming agriculturally grown forage</t>
  </si>
  <si>
    <t>Cricket Powder (to offset protein)</t>
  </si>
  <si>
    <t>Mass powder/capita</t>
  </si>
  <si>
    <t>Yeild per kg of organism</t>
  </si>
  <si>
    <t>Living kg of organism</t>
  </si>
  <si>
    <t>Feed kg / organism kg</t>
  </si>
  <si>
    <t>Mass powder/year</t>
  </si>
  <si>
    <t>Cattle</t>
  </si>
  <si>
    <t>Cricket</t>
  </si>
  <si>
    <t>Avg Mass</t>
  </si>
  <si>
    <t>Protein per day</t>
  </si>
  <si>
    <t>https://www.healthline.com/nutrition/how-much-protein-per-day</t>
  </si>
  <si>
    <t>g/kg/day</t>
  </si>
  <si>
    <t>kg/s</t>
  </si>
  <si>
    <t>Mission Cargo</t>
  </si>
  <si>
    <t>Steel Structure</t>
  </si>
  <si>
    <t>Material</t>
  </si>
  <si>
    <t>Tensile Strength</t>
  </si>
  <si>
    <t>N/mm^2</t>
  </si>
  <si>
    <t>Yield Point</t>
  </si>
  <si>
    <t>g/cm^3</t>
  </si>
  <si>
    <t>Nickle/Iron Alloy 52/48</t>
  </si>
  <si>
    <t>Caloires</t>
  </si>
  <si>
    <t>kCal/Day</t>
  </si>
  <si>
    <t>Chicken</t>
  </si>
  <si>
    <t>Mass Chicken/Capita</t>
  </si>
  <si>
    <t>Mass Meat /year</t>
  </si>
  <si>
    <t>Yield per Kg of Organism</t>
  </si>
  <si>
    <t>Living Kg per organism</t>
  </si>
  <si>
    <t>https://www.gov.mb.ca/agriculture/livestock/production/poultry/basic-feeding-programs-for-small-chicken-flocks.html</t>
  </si>
  <si>
    <t>Broiler</t>
  </si>
  <si>
    <t>Roaster</t>
  </si>
  <si>
    <t>Egg Layer</t>
  </si>
  <si>
    <t>Feed (total)</t>
  </si>
  <si>
    <t>Kg protein / organism</t>
  </si>
  <si>
    <t>Feed (protein)</t>
  </si>
  <si>
    <t>%protein diet</t>
  </si>
  <si>
    <t>Medievel Estimate</t>
  </si>
  <si>
    <t>Raw Cultivattion Estimate</t>
  </si>
  <si>
    <t>Medieval Estimate</t>
  </si>
  <si>
    <t>Medieval Population Rate</t>
  </si>
  <si>
    <t>capita/km^2</t>
  </si>
  <si>
    <t>Livestock feed</t>
  </si>
  <si>
    <t>Straw (from other crops)</t>
  </si>
  <si>
    <t>Alfalfa</t>
  </si>
  <si>
    <t>Grass</t>
  </si>
  <si>
    <t>Straw can be derived from parts of plants in food production not eaten</t>
  </si>
  <si>
    <t>Grass only requires 0.2 meters of topsoil. Assume some sort of stacking cultivation system</t>
  </si>
  <si>
    <t>Human Crops</t>
  </si>
  <si>
    <t>Livestock crops</t>
  </si>
  <si>
    <t>Grass (cultivated)</t>
  </si>
  <si>
    <t>Grass (living + recreation area)</t>
  </si>
  <si>
    <t>Grass (graze range)</t>
  </si>
  <si>
    <t>lbs/capita</t>
  </si>
  <si>
    <t>(Slightly higher than switzerland)</t>
  </si>
  <si>
    <t>Pig</t>
  </si>
  <si>
    <t>Sugar Beets</t>
  </si>
  <si>
    <t>m^3 soil</t>
  </si>
  <si>
    <t>Soil Volume</t>
  </si>
  <si>
    <t>US 1990</t>
  </si>
  <si>
    <t>http://www.foodreference.com/html/f-chick-consp.html</t>
  </si>
  <si>
    <t>http://www.foodreference.com/html/fbeef.html</t>
  </si>
  <si>
    <t>Assuming pigs eat leftovers from everything</t>
  </si>
  <si>
    <t>Total Meat</t>
  </si>
  <si>
    <t>Mass / organism</t>
  </si>
  <si>
    <t>Number organism</t>
  </si>
  <si>
    <t>Feed Organism/Market</t>
  </si>
  <si>
    <t>https://countrysidenetwork.com/daily/livestock/pigs/feeding-a-pig-for-market/</t>
  </si>
  <si>
    <t>kg / pig</t>
  </si>
  <si>
    <t>Total Mass of Food/yr</t>
  </si>
  <si>
    <t>meat</t>
  </si>
  <si>
    <t>Capita</t>
  </si>
  <si>
    <t>cereals + produce</t>
  </si>
  <si>
    <t>Food Waste</t>
  </si>
  <si>
    <t>Feed (from scaps)</t>
  </si>
  <si>
    <t>http://www.foodreference.com/html/fpork.html</t>
  </si>
  <si>
    <t>Enclosure / Organism</t>
  </si>
  <si>
    <t>Enclosure total</t>
  </si>
  <si>
    <t>Living organizm</t>
  </si>
  <si>
    <t>Enclosure per organism</t>
  </si>
  <si>
    <t>Pigs</t>
  </si>
  <si>
    <t>Ruminant Total</t>
  </si>
  <si>
    <t>% grass</t>
  </si>
  <si>
    <t>Levels</t>
  </si>
  <si>
    <t>Soil Density</t>
  </si>
  <si>
    <t>Kg/m^2 manned space</t>
  </si>
  <si>
    <t>https://en.wikipedia.org/wiki/World_Trade_Center_(1973–2001)</t>
  </si>
  <si>
    <t>https://hypertextbook.com/facts/2004/EricChen.shtml</t>
  </si>
  <si>
    <t>Steel Constuction</t>
  </si>
  <si>
    <t>World Trade Center</t>
  </si>
  <si>
    <t>Floor Area</t>
  </si>
  <si>
    <t>Mass</t>
  </si>
  <si>
    <t>kg/m^2</t>
  </si>
  <si>
    <t>U.S. Steel Building</t>
  </si>
  <si>
    <t>https://en.wikipedia.org/wiki/U.S._Steel_Tower</t>
  </si>
  <si>
    <t>Soil</t>
  </si>
  <si>
    <t>PSFS Building</t>
  </si>
  <si>
    <t>https://cdn.ymaws.com/www.aspenational.org/resource/resmgr/Techical_Papers/2013_October_TP.pdf</t>
  </si>
  <si>
    <t>Includes concrete flooring</t>
  </si>
  <si>
    <t>Based on construction formulas</t>
  </si>
  <si>
    <t>Crew + Effects / per</t>
  </si>
  <si>
    <t>Water Tank/Rad shield</t>
  </si>
  <si>
    <t>Radition Shielding</t>
  </si>
  <si>
    <t>Thickness of water surrounding all habitat areas of ship</t>
  </si>
  <si>
    <t>Atmosphere</t>
  </si>
  <si>
    <t>Assuming STP 1.225 kg/m^3 and 90% of total interior volume</t>
  </si>
  <si>
    <t>https://settlement.arc.nasa.gov/75SummerStudy/Chapt4.html#Shielding</t>
  </si>
  <si>
    <t>4500 kg/m^2 needed</t>
  </si>
  <si>
    <t>Total Area</t>
  </si>
  <si>
    <t>3 * square Root of three</t>
  </si>
  <si>
    <t>Number of domes</t>
  </si>
  <si>
    <t>dy</t>
  </si>
  <si>
    <t>Design Area per dome</t>
  </si>
  <si>
    <t>Implementation area</t>
  </si>
  <si>
    <t>Surface area</t>
  </si>
  <si>
    <t>Number Domes</t>
  </si>
  <si>
    <t>Volume</t>
  </si>
  <si>
    <t>Radation Shielding</t>
  </si>
  <si>
    <t>Slice Area</t>
  </si>
  <si>
    <t>Dome Exterior Surface</t>
  </si>
  <si>
    <t>Dome Land Surface</t>
  </si>
  <si>
    <t>Dome Volume</t>
  </si>
  <si>
    <t>Dome Shield Mass</t>
  </si>
  <si>
    <t>Radiation Mass</t>
  </si>
  <si>
    <t>Dome Levels</t>
  </si>
  <si>
    <t>Total Land Area</t>
  </si>
  <si>
    <t>Dome Radius</t>
  </si>
  <si>
    <t>1 G Radius</t>
  </si>
  <si>
    <t>RPM</t>
  </si>
  <si>
    <t>Angular Speed</t>
  </si>
  <si>
    <t>Floor Radius</t>
  </si>
  <si>
    <t>Rot Radius</t>
  </si>
  <si>
    <t>%g</t>
  </si>
  <si>
    <t>Height</t>
  </si>
  <si>
    <t>Design of a spheriod dome</t>
  </si>
  <si>
    <t>h</t>
  </si>
  <si>
    <t>Verticle Usage</t>
  </si>
  <si>
    <t>long ton/ft^3</t>
  </si>
  <si>
    <t>Width</t>
  </si>
  <si>
    <t>Structure Mass</t>
  </si>
  <si>
    <t>Mass m^3</t>
  </si>
  <si>
    <t>G at apex</t>
  </si>
  <si>
    <t>area / volume</t>
  </si>
  <si>
    <t>Segment Length</t>
  </si>
  <si>
    <t>Dome Structure Mass</t>
  </si>
  <si>
    <t>Dome Structure</t>
  </si>
  <si>
    <t>Oats</t>
  </si>
  <si>
    <t>Cereals</t>
  </si>
  <si>
    <t>broccoli</t>
  </si>
  <si>
    <t>% protein</t>
  </si>
  <si>
    <t>% oil</t>
  </si>
  <si>
    <t>% EFA</t>
  </si>
  <si>
    <t>% carb</t>
  </si>
  <si>
    <t>kcal/m^2</t>
  </si>
  <si>
    <t>Cabbage</t>
  </si>
  <si>
    <t>camelina</t>
  </si>
  <si>
    <t>chia seeds</t>
  </si>
  <si>
    <t>Coconut Oil</t>
  </si>
  <si>
    <t>duckweed</t>
  </si>
  <si>
    <t>flaxseed</t>
  </si>
  <si>
    <t>fonio</t>
  </si>
  <si>
    <t>http://gardeningplaces.com/articles/nutrition-per-hectare1.htm</t>
  </si>
  <si>
    <t>hempseed</t>
  </si>
  <si>
    <t>lentils</t>
  </si>
  <si>
    <t>maize (corn)</t>
  </si>
  <si>
    <t>millet</t>
  </si>
  <si>
    <t>Nerica</t>
  </si>
  <si>
    <t>Olive Oil</t>
  </si>
  <si>
    <t>Palm Oil</t>
  </si>
  <si>
    <t>Palm Kernel Oil</t>
  </si>
  <si>
    <t>Peas - Dry</t>
  </si>
  <si>
    <t>Peas - Green</t>
  </si>
  <si>
    <t>Plaintains</t>
  </si>
  <si>
    <t>rapeseed (canola)</t>
  </si>
  <si>
    <t>Rice - paddy</t>
  </si>
  <si>
    <t>Rye</t>
  </si>
  <si>
    <t>sacha inchi</t>
  </si>
  <si>
    <t>safflower kernels</t>
  </si>
  <si>
    <t>sesame seeds</t>
  </si>
  <si>
    <t>sorghum - grain</t>
  </si>
  <si>
    <t>spelt</t>
  </si>
  <si>
    <t>sugarcane</t>
  </si>
  <si>
    <t>sunflower seeds</t>
  </si>
  <si>
    <t>sweet potatoes</t>
  </si>
  <si>
    <t>teff</t>
  </si>
  <si>
    <t>triticale</t>
  </si>
  <si>
    <t>Wild Rice</t>
  </si>
  <si>
    <t>yams</t>
  </si>
  <si>
    <t>Pumpkin</t>
  </si>
  <si>
    <t>Pumplkin seed</t>
  </si>
  <si>
    <t>Winged bean seeds</t>
  </si>
  <si>
    <t>winged bean pods</t>
  </si>
  <si>
    <t>winged bean tuber</t>
  </si>
  <si>
    <t>forage / hectare</t>
  </si>
  <si>
    <t>turnips</t>
  </si>
  <si>
    <t>Feed - Crops</t>
  </si>
  <si>
    <t>Organisms</t>
  </si>
  <si>
    <t>Food From Crops</t>
  </si>
  <si>
    <t>Number of organisms</t>
  </si>
  <si>
    <t>1 us ton/acre -&gt; kg/hectare</t>
  </si>
  <si>
    <t>Source A</t>
  </si>
  <si>
    <t>Source B</t>
  </si>
  <si>
    <t>http://www.gardensofeden.org/04%20Crop%20Yield%20Verification.htm</t>
  </si>
  <si>
    <t>Avacados</t>
  </si>
  <si>
    <t>Source</t>
  </si>
  <si>
    <t>A</t>
  </si>
  <si>
    <t>lb / Acre</t>
  </si>
  <si>
    <t>Almonds (shelled)</t>
  </si>
  <si>
    <t>Pecans - In Shell</t>
  </si>
  <si>
    <t>Pistachios</t>
  </si>
  <si>
    <t>Walnuts</t>
  </si>
  <si>
    <t>Apricots</t>
  </si>
  <si>
    <t>Cherry (sweet)</t>
  </si>
  <si>
    <t>Dates</t>
  </si>
  <si>
    <t>Figs</t>
  </si>
  <si>
    <t>Kiwi Fruit</t>
  </si>
  <si>
    <t>Nectarines</t>
  </si>
  <si>
    <t>Olives</t>
  </si>
  <si>
    <t>Peaches</t>
  </si>
  <si>
    <t>Pears</t>
  </si>
  <si>
    <t>Plums</t>
  </si>
  <si>
    <t>Spinach</t>
  </si>
  <si>
    <t>Carrot</t>
  </si>
  <si>
    <t>Onion</t>
  </si>
  <si>
    <t>Celery</t>
  </si>
  <si>
    <t>Tomato</t>
  </si>
  <si>
    <t>lettuce</t>
  </si>
  <si>
    <t>Caulflower</t>
  </si>
  <si>
    <t>Pepper, Bell</t>
  </si>
  <si>
    <t>Pepper, Black</t>
  </si>
  <si>
    <t>Squash, Summer</t>
  </si>
  <si>
    <t>Beet</t>
  </si>
  <si>
    <t>Cantaloupe</t>
  </si>
  <si>
    <t>Asparagus</t>
  </si>
  <si>
    <t>Cucumber</t>
  </si>
  <si>
    <t>Radish</t>
  </si>
  <si>
    <t>Watermellon</t>
  </si>
  <si>
    <t>Bean, Lima</t>
  </si>
  <si>
    <t>Bean, snap</t>
  </si>
  <si>
    <t>Beans, greeen</t>
  </si>
  <si>
    <t>Bean, dry</t>
  </si>
  <si>
    <t>Source C</t>
  </si>
  <si>
    <t>Chufa (tigernut)</t>
  </si>
  <si>
    <t>Grow Time</t>
  </si>
  <si>
    <t>days</t>
  </si>
  <si>
    <t>Source D</t>
  </si>
  <si>
    <t>https://www.gardenguides.com/134169-growing-times-vegetables.html</t>
  </si>
  <si>
    <t>Perennial</t>
  </si>
  <si>
    <t>Oranges</t>
  </si>
  <si>
    <t>Lemon</t>
  </si>
  <si>
    <t>Lime</t>
  </si>
  <si>
    <t>kg/year</t>
  </si>
  <si>
    <t>United States</t>
  </si>
  <si>
    <t>https://ourworldindata.org/diet-compositions</t>
  </si>
  <si>
    <t>kCal/kg</t>
  </si>
  <si>
    <t>Harvests</t>
  </si>
  <si>
    <t>Kg Food</t>
  </si>
  <si>
    <t>Kg Forage</t>
  </si>
  <si>
    <t>% forage</t>
  </si>
  <si>
    <t>Total Forage Source</t>
  </si>
  <si>
    <t>food</t>
  </si>
  <si>
    <t>forage</t>
  </si>
  <si>
    <t>Cal/day/person</t>
  </si>
  <si>
    <t>Grown</t>
  </si>
  <si>
    <t>Other Vegetables</t>
  </si>
  <si>
    <t>Class</t>
  </si>
  <si>
    <t>kcal/day</t>
  </si>
  <si>
    <t>Non-Food Crops</t>
  </si>
  <si>
    <t>Diet Design</t>
  </si>
  <si>
    <t>Other</t>
  </si>
  <si>
    <t>Sugar</t>
  </si>
  <si>
    <t>Japan</t>
  </si>
  <si>
    <t>Iceland</t>
  </si>
  <si>
    <t>Life Expectency</t>
  </si>
  <si>
    <t>Canada</t>
  </si>
  <si>
    <t>Russia</t>
  </si>
  <si>
    <t>China</t>
  </si>
  <si>
    <t>India</t>
  </si>
  <si>
    <t>Chad</t>
  </si>
  <si>
    <t>Diet Data:</t>
  </si>
  <si>
    <t>Life Expectency Data:</t>
  </si>
  <si>
    <t>https://www.infoplease.com/world/health-and-social-statistics/life-expectancy-countries-0</t>
  </si>
  <si>
    <t>Based of Year 2013Data from</t>
  </si>
  <si>
    <t>TCD</t>
  </si>
  <si>
    <t>Code</t>
  </si>
  <si>
    <t>CAN</t>
  </si>
  <si>
    <t>ISL</t>
  </si>
  <si>
    <t>IND</t>
  </si>
  <si>
    <t>Ireland</t>
  </si>
  <si>
    <t>IRL</t>
  </si>
  <si>
    <t>Saudi Arabia</t>
  </si>
  <si>
    <t>JPN</t>
  </si>
  <si>
    <t>CHN</t>
  </si>
  <si>
    <t>RUS</t>
  </si>
  <si>
    <t>SAU</t>
  </si>
  <si>
    <t>USA</t>
  </si>
  <si>
    <t>kcal (total)</t>
  </si>
  <si>
    <t>Australia</t>
  </si>
  <si>
    <t>AUS</t>
  </si>
  <si>
    <t>United Kingdom</t>
  </si>
  <si>
    <t>GBR</t>
  </si>
  <si>
    <t>South Korea</t>
  </si>
  <si>
    <t>KOR</t>
  </si>
  <si>
    <t>kilocalories per person per day</t>
  </si>
  <si>
    <t>Oils &amp; Fats</t>
  </si>
  <si>
    <t>Meat</t>
  </si>
  <si>
    <t>Dairy &amp; Eggs</t>
  </si>
  <si>
    <t>Fruits &amp; Vegetables</t>
  </si>
  <si>
    <t>Starchy Roots</t>
  </si>
  <si>
    <t>Pulses</t>
  </si>
  <si>
    <t>Cereals &amp; Grains</t>
  </si>
  <si>
    <t>Alcoholic Beverages</t>
  </si>
  <si>
    <t>Type</t>
  </si>
  <si>
    <t>Oil &amp; Fats</t>
  </si>
  <si>
    <t>Starchy Root</t>
  </si>
  <si>
    <t>Alcholic Beverages</t>
  </si>
  <si>
    <t>https://nutritionstudies.org/what-are-pulses-and-why-are-they-important/</t>
  </si>
  <si>
    <t>kcal/100g</t>
  </si>
  <si>
    <t>https://www.fatsecret.com/calories-nutrition/generic/sugar?portionid=55855&amp;portionamount=100.000</t>
  </si>
  <si>
    <t>https://www.fatsecret.com/calories-nutrition/generic/rice-white-cooked-regular?portionid=53181&amp;portionamount=100.000</t>
  </si>
  <si>
    <t>https://www.fatsecret.com/calories-nutrition/usda/potatoes-(flesh-without-skin-without-salt-boiled)?portionid=59236&amp;portionamount=100.000</t>
  </si>
  <si>
    <t>https://www.fatsecret.com/calories-nutrition/usda/green-peas?portionid=59195&amp;portionamount=100.000</t>
  </si>
  <si>
    <t>https://www.fatsecret.com/calories-nutrition/usda/red-table-wine?portionid=60471&amp;portionamount=100.000</t>
  </si>
  <si>
    <t>Fish</t>
  </si>
  <si>
    <t>Modeled as a generic organism that east primarly crickets</t>
  </si>
  <si>
    <t>kg / ea</t>
  </si>
  <si>
    <t>kg / capita</t>
  </si>
  <si>
    <t>Protein - Vegetable</t>
  </si>
  <si>
    <t>lux</t>
  </si>
  <si>
    <t>https://en.wikipedia.org/wiki/Daylight</t>
  </si>
  <si>
    <t>https://en.wikipedia.org/wiki/Moonlight</t>
  </si>
  <si>
    <t>https://www1.eere.energy.gov/buildings/publications/pdfs/ssl/led_energy_efficiency.pdf</t>
  </si>
  <si>
    <t>lumen/W</t>
  </si>
  <si>
    <t>MW</t>
  </si>
  <si>
    <t>Total Mass</t>
  </si>
  <si>
    <t>Fusion Reactor</t>
  </si>
  <si>
    <t>(Similar to propulsion System)</t>
  </si>
  <si>
    <t>Gallery Rate</t>
  </si>
  <si>
    <t>Diameter</t>
  </si>
  <si>
    <t>1g Radius</t>
  </si>
  <si>
    <t>dy Standard</t>
  </si>
  <si>
    <t>(1 meter utility, 1-2 meter soil, 3-4 meter headspace)</t>
  </si>
  <si>
    <t>Flywheel Mass</t>
  </si>
  <si>
    <t>Flywheel Max Radius</t>
  </si>
  <si>
    <t>Moment of Inertia</t>
  </si>
  <si>
    <t>Angular Momentum</t>
  </si>
  <si>
    <t>Flywheel Inner Radius</t>
  </si>
  <si>
    <t>Flywheel Moment of Inertia</t>
  </si>
  <si>
    <t>Flywheel Thickness</t>
  </si>
  <si>
    <t>Flywheel Angular Speed</t>
  </si>
  <si>
    <t>Air Density</t>
  </si>
  <si>
    <t>Sphere + Flywheel</t>
  </si>
  <si>
    <t>Flywheel Density</t>
  </si>
  <si>
    <t>Length of a Nimtz Carrier</t>
  </si>
  <si>
    <t>in</t>
  </si>
  <si>
    <t>Length of Football Field</t>
  </si>
  <si>
    <t>2d Slice Area</t>
  </si>
  <si>
    <t>Floor Count</t>
  </si>
  <si>
    <t>Vertical Usage</t>
  </si>
  <si>
    <t>Spare Parts Factor</t>
  </si>
  <si>
    <t>Usage</t>
  </si>
  <si>
    <t>Park Area</t>
  </si>
  <si>
    <t>Settlement Area</t>
  </si>
  <si>
    <t>Agriculture</t>
  </si>
  <si>
    <t>Medical</t>
  </si>
  <si>
    <t>Human Services</t>
  </si>
  <si>
    <t>Service Industry</t>
  </si>
  <si>
    <t>Craftsmen - Food</t>
  </si>
  <si>
    <t>Vendor</t>
  </si>
  <si>
    <t>Craftsmen - Art</t>
  </si>
  <si>
    <t>Craftsman - Misc</t>
  </si>
  <si>
    <t>Law Enforcement</t>
  </si>
  <si>
    <t>Per 100000</t>
  </si>
  <si>
    <t>Labor Category</t>
  </si>
  <si>
    <t>Crew</t>
  </si>
  <si>
    <t>Retired</t>
  </si>
  <si>
    <t>Working</t>
  </si>
  <si>
    <t>Command</t>
  </si>
  <si>
    <t>Education</t>
  </si>
  <si>
    <t>Maternity</t>
  </si>
  <si>
    <t>Non-Working</t>
  </si>
  <si>
    <t>Assume 1 teacher per 12 children, starting at age 4</t>
  </si>
  <si>
    <t>Inn/Taverns/Restaurants</t>
  </si>
  <si>
    <t>Ship Systems</t>
  </si>
  <si>
    <t>Robotics + Agriculture</t>
  </si>
  <si>
    <t>Human Services Categories</t>
  </si>
  <si>
    <t>Assuming 3 doctors and 3 nurses on rotation 24/7, with 2 trainees</t>
  </si>
  <si>
    <t>Student</t>
  </si>
  <si>
    <t>Assuming 40% of children will go on to 4 years of advanced training</t>
  </si>
  <si>
    <t>Trainee / Generalist</t>
  </si>
  <si>
    <t>Plant Operator</t>
  </si>
  <si>
    <t>Technicians / Electricians</t>
  </si>
  <si>
    <t>Repair + Fabrication</t>
  </si>
  <si>
    <t>Assuming this count also includes individuals engaged in domestic manufactur</t>
  </si>
  <si>
    <t>Weighted Allocation</t>
  </si>
  <si>
    <t>Figures for trades estimated from medieval towns/cities</t>
  </si>
  <si>
    <t>Government</t>
  </si>
  <si>
    <t>Picked a plausible number from: https://www.governing.com/gov-data/public-workforce-salaries/states-most-government-workers-public-employees-by-job-type.html</t>
  </si>
  <si>
    <t>Officers</t>
  </si>
  <si>
    <t>Scientists</t>
  </si>
  <si>
    <t>Plant Safety</t>
  </si>
  <si>
    <t>FOG</t>
  </si>
  <si>
    <t>Science + Development</t>
  </si>
  <si>
    <t>Spare Parts Estimate</t>
  </si>
  <si>
    <t>http://www.waterandenergyprogress.org/library/05006.pdf</t>
  </si>
  <si>
    <t>Shred Stalks</t>
  </si>
  <si>
    <t>Plow 8 inches deep</t>
  </si>
  <si>
    <t>Field Cultivate</t>
  </si>
  <si>
    <t>Harrow</t>
  </si>
  <si>
    <t>Cultivate Row Crops</t>
  </si>
  <si>
    <t>Plant Row Crops</t>
  </si>
  <si>
    <t>No-till planter</t>
  </si>
  <si>
    <t>Grain Drill</t>
  </si>
  <si>
    <t>Combine - Grain</t>
  </si>
  <si>
    <t>Combine - corn/sorghum</t>
  </si>
  <si>
    <t>Corn Picker</t>
  </si>
  <si>
    <t>Baler</t>
  </si>
  <si>
    <t>Rotary Mower</t>
  </si>
  <si>
    <t>Forage Harvester - green</t>
  </si>
  <si>
    <t>Forage Harvester - hay</t>
  </si>
  <si>
    <t>Forage Harvester - corm</t>
  </si>
  <si>
    <t>Forage blower - green</t>
  </si>
  <si>
    <t>Forage blower - hay</t>
  </si>
  <si>
    <t>Forage blower - corn</t>
  </si>
  <si>
    <t>Grain Drying</t>
  </si>
  <si>
    <t>Estimate Number of Tractors needed</t>
  </si>
  <si>
    <t>Task</t>
  </si>
  <si>
    <t>PTO hp/hr/acre</t>
  </si>
  <si>
    <t>Hectares</t>
  </si>
  <si>
    <t>Tractor Hours</t>
  </si>
  <si>
    <t>acre</t>
  </si>
  <si>
    <t>mile^2</t>
  </si>
  <si>
    <t>ft^2</t>
  </si>
  <si>
    <t>Constants</t>
  </si>
  <si>
    <t>Human Population (peak)</t>
  </si>
  <si>
    <t>PTO HP-hour/acre</t>
  </si>
  <si>
    <t>PTO HP-hour</t>
  </si>
  <si>
    <t>Robotic Operators</t>
  </si>
  <si>
    <t>Recreation Area:</t>
  </si>
  <si>
    <t>Land Usage</t>
  </si>
  <si>
    <t>Budget</t>
  </si>
  <si>
    <t>Implemented</t>
  </si>
  <si>
    <t>Cargo Area</t>
  </si>
  <si>
    <t>Name</t>
  </si>
  <si>
    <t>Settlement</t>
  </si>
  <si>
    <t>Park</t>
  </si>
  <si>
    <t>Cargo</t>
  </si>
  <si>
    <t>Housing - Single</t>
  </si>
  <si>
    <t>Housing - Family</t>
  </si>
  <si>
    <t>Budget %</t>
  </si>
  <si>
    <t>Acres/Capita</t>
  </si>
  <si>
    <t>Industry</t>
  </si>
  <si>
    <t>Zones</t>
  </si>
  <si>
    <t>Industrial</t>
  </si>
  <si>
    <t>Artist/Musician</t>
  </si>
  <si>
    <t>https://www.arts.gov/sites/default/files/ArtistsInWorkforce.pdf</t>
  </si>
  <si>
    <t>Domes</t>
  </si>
  <si>
    <t>Usage:</t>
  </si>
  <si>
    <t>Food Storage</t>
  </si>
  <si>
    <t>Store the equivilent of 7 years of food</t>
  </si>
  <si>
    <t>Volume / Dome</t>
  </si>
  <si>
    <t>Horsepower to KW</t>
  </si>
  <si>
    <t>KW to Horsepower</t>
  </si>
  <si>
    <t>Cultivation energy / hectare</t>
  </si>
  <si>
    <t>Yearly Power Consuption</t>
  </si>
  <si>
    <t>Days in year</t>
  </si>
  <si>
    <t>Niave</t>
  </si>
  <si>
    <t>Exact</t>
  </si>
  <si>
    <t>Image Scale (carrier)</t>
  </si>
  <si>
    <t>Image Scale (field)</t>
  </si>
  <si>
    <t>Uniform</t>
  </si>
  <si>
    <t>Widest Deck</t>
  </si>
  <si>
    <t>Widest</t>
  </si>
  <si>
    <t>Hab Levels</t>
  </si>
  <si>
    <t>Note: Some decks do not have area that adds up to 100% to represent thru-deck features</t>
  </si>
  <si>
    <t>Machinery</t>
  </si>
  <si>
    <t>Total Levels</t>
  </si>
  <si>
    <t>Dome Radius est</t>
  </si>
  <si>
    <t>http://www.no1ledlight.com/lux-standard-for-indoor-lighting/</t>
  </si>
  <si>
    <t>https://homeguides.sfgate.com/problem-using-grow-lights-greenhouses-51087.html</t>
  </si>
  <si>
    <t>Illumination Hours</t>
  </si>
  <si>
    <t>kwh /day</t>
  </si>
  <si>
    <t>Peak Wattage</t>
  </si>
  <si>
    <t>watt</t>
  </si>
  <si>
    <t>Lighting</t>
  </si>
  <si>
    <t>Peak Power Load</t>
  </si>
  <si>
    <t>Daily Power Consumption</t>
  </si>
  <si>
    <t>kwh/day -&gt; watt</t>
  </si>
  <si>
    <t>khw/day</t>
  </si>
  <si>
    <t>kwH/day</t>
  </si>
  <si>
    <t>kwh/day</t>
  </si>
  <si>
    <t>Ship Calendar</t>
  </si>
  <si>
    <t>System Mass</t>
  </si>
  <si>
    <t>Hemp</t>
  </si>
  <si>
    <t>Hectare</t>
  </si>
  <si>
    <t>(Sum of proportions)</t>
  </si>
  <si>
    <t>Illumination (Peak)</t>
  </si>
  <si>
    <t>Illumination (Night)</t>
  </si>
  <si>
    <t>Manned</t>
  </si>
  <si>
    <t>Unmanned</t>
  </si>
  <si>
    <t>Outdoor</t>
  </si>
  <si>
    <t>Start Population</t>
  </si>
  <si>
    <t>Travel Time</t>
  </si>
  <si>
    <t>Hallway</t>
  </si>
  <si>
    <t>Assume at least a mayor</t>
  </si>
  <si>
    <t>Specialist</t>
  </si>
  <si>
    <t>Requirements</t>
  </si>
  <si>
    <t>Design Population</t>
  </si>
  <si>
    <t>Plant Height</t>
  </si>
  <si>
    <t>Orchard</t>
  </si>
  <si>
    <t>Orchard Area</t>
  </si>
  <si>
    <t>Length</t>
  </si>
  <si>
    <t>Slice Radius</t>
  </si>
  <si>
    <t>Surface Area</t>
  </si>
  <si>
    <t>Fuel Storage Total</t>
  </si>
  <si>
    <t>Equator</t>
  </si>
  <si>
    <t>Offset</t>
  </si>
  <si>
    <t>Sphere Offset</t>
  </si>
  <si>
    <t>Sphere Radius</t>
  </si>
  <si>
    <t>1 mw data center</t>
  </si>
  <si>
    <t>Heavy Water Facility</t>
  </si>
  <si>
    <t>https://pubs.acs.org/doi/pdf/10.1021/bk-1978-0068.ch001</t>
  </si>
  <si>
    <t>Daily Production</t>
  </si>
  <si>
    <t>Note: Does not include fuel collected</t>
  </si>
  <si>
    <t>Astronomical Unit</t>
  </si>
  <si>
    <t>watts</t>
  </si>
  <si>
    <t>ppm</t>
  </si>
  <si>
    <t>Dueterium Concentration</t>
  </si>
  <si>
    <t>Daily Feed</t>
  </si>
  <si>
    <t>Comet Diameter</t>
  </si>
  <si>
    <t>Comet Density</t>
  </si>
  <si>
    <t>Kg</t>
  </si>
  <si>
    <t>Water Concentration</t>
  </si>
  <si>
    <t>Comet Mass</t>
  </si>
  <si>
    <t>Years</t>
  </si>
  <si>
    <t>Fuel Extracted</t>
  </si>
  <si>
    <t>kg/day</t>
  </si>
  <si>
    <t>Daily Sludge</t>
  </si>
  <si>
    <t>Thrust</t>
  </si>
  <si>
    <t>m/s</t>
  </si>
  <si>
    <t>Reaction Mass</t>
  </si>
  <si>
    <t>(Assume a magical 90% production increase from technology)</t>
  </si>
  <si>
    <t>Sci-Fi-Factor</t>
  </si>
  <si>
    <t>Trip distance</t>
  </si>
  <si>
    <t>meters</t>
  </si>
  <si>
    <t>Scale</t>
  </si>
  <si>
    <t>Launch</t>
  </si>
  <si>
    <t>AU</t>
  </si>
  <si>
    <t>Engine Cutoff</t>
  </si>
  <si>
    <t>Decell Burn Start</t>
  </si>
  <si>
    <t>Coast Distance</t>
  </si>
  <si>
    <t>Arrival</t>
  </si>
  <si>
    <t>Thrust Distance</t>
  </si>
  <si>
    <t>Accel Time (s)</t>
  </si>
  <si>
    <t>Start</t>
  </si>
  <si>
    <t>End</t>
  </si>
  <si>
    <t>Coast Time</t>
  </si>
  <si>
    <t>x</t>
  </si>
  <si>
    <t>Decel Time (s)</t>
  </si>
  <si>
    <t>y</t>
  </si>
  <si>
    <t>Total Time</t>
  </si>
  <si>
    <t>weeks</t>
  </si>
  <si>
    <t>speed</t>
  </si>
  <si>
    <t>c</t>
  </si>
  <si>
    <t>au/day</t>
  </si>
  <si>
    <t>Heading</t>
  </si>
  <si>
    <t>rad</t>
  </si>
  <si>
    <t>degress</t>
  </si>
  <si>
    <t>X</t>
  </si>
  <si>
    <t>Y</t>
  </si>
  <si>
    <t>velocity</t>
  </si>
  <si>
    <t>mass</t>
  </si>
  <si>
    <t>Stardate</t>
  </si>
  <si>
    <t>Dist</t>
  </si>
  <si>
    <t>stardate</t>
  </si>
  <si>
    <t>calendar</t>
  </si>
  <si>
    <t>Location</t>
  </si>
  <si>
    <t>Performance</t>
  </si>
  <si>
    <t>iSP</t>
  </si>
  <si>
    <t>gvm</t>
  </si>
  <si>
    <t>phase</t>
  </si>
  <si>
    <t>dx</t>
  </si>
  <si>
    <t>GVM</t>
  </si>
  <si>
    <t>gvw</t>
  </si>
  <si>
    <t>Decel Distance</t>
  </si>
  <si>
    <t>Total Propellent Mass</t>
  </si>
  <si>
    <t>Total Thrust Time</t>
  </si>
  <si>
    <t>hours</t>
  </si>
  <si>
    <t>fuel</t>
  </si>
  <si>
    <t>`</t>
  </si>
  <si>
    <t>Habitat</t>
  </si>
  <si>
    <t>Engines</t>
  </si>
  <si>
    <t>Fuel Mass Fac</t>
  </si>
  <si>
    <t>Total Fuel Mass</t>
  </si>
  <si>
    <t>GVM Estimate</t>
  </si>
  <si>
    <t>Fuel Tanks</t>
  </si>
  <si>
    <t>Reaction Tanks</t>
  </si>
  <si>
    <t>Cargo Structure</t>
  </si>
  <si>
    <t>Avagadro</t>
  </si>
  <si>
    <t>Lithium deuteride</t>
  </si>
  <si>
    <t>molecular mass</t>
  </si>
  <si>
    <t>molar mass</t>
  </si>
  <si>
    <t>density</t>
  </si>
  <si>
    <t>volume</t>
  </si>
  <si>
    <t>moles</t>
  </si>
  <si>
    <t>Raw Water</t>
  </si>
  <si>
    <t>Comet Volume</t>
  </si>
  <si>
    <t>fusion fuel</t>
  </si>
  <si>
    <t>1400 MJ/kg</t>
  </si>
  <si>
    <t>https://en.wikipedia.org/wiki/Specific_impulse</t>
  </si>
  <si>
    <t>ve</t>
  </si>
  <si>
    <t>Decel GVM</t>
  </si>
  <si>
    <t>Delta v</t>
  </si>
  <si>
    <t>https://www.physicsforums.com/threads/rocket-motion-calculating-distance.476154/</t>
  </si>
  <si>
    <t>Launch gvm</t>
  </si>
  <si>
    <t>Thrust Fuel</t>
  </si>
  <si>
    <t>Thrust Propellant</t>
  </si>
  <si>
    <t>Decel Propellent</t>
  </si>
  <si>
    <t>Decel Fuel</t>
  </si>
  <si>
    <t>Max Accell</t>
  </si>
  <si>
    <t>g</t>
  </si>
  <si>
    <t>mdot</t>
  </si>
  <si>
    <t>Max Accel</t>
  </si>
  <si>
    <t>Coast GVM</t>
  </si>
  <si>
    <t>Arrival GVM</t>
  </si>
  <si>
    <t>Coast Velocity</t>
  </si>
  <si>
    <t>propellent_loss</t>
  </si>
  <si>
    <t>Propellent Budget</t>
  </si>
  <si>
    <t>Isotope Reagent Capacity</t>
  </si>
  <si>
    <t>Reagent Tanks</t>
  </si>
  <si>
    <t>(Fuel tank doubles as cargo tank for processed fuel)</t>
  </si>
  <si>
    <t>kwh/kg</t>
  </si>
  <si>
    <t>Refinery</t>
  </si>
  <si>
    <t>Time On Station</t>
  </si>
  <si>
    <t>A Lithium Deuteride</t>
  </si>
  <si>
    <t>Support Ship</t>
  </si>
  <si>
    <t>A=2*pi()*r*h</t>
  </si>
  <si>
    <t>a=pi()*rc^2</t>
  </si>
  <si>
    <t>rc^2=2*r*h</t>
  </si>
  <si>
    <t>r2h=a^2+h^2</t>
  </si>
  <si>
    <t>Internal Sphere Radius</t>
  </si>
  <si>
    <t>x^2+y^2=r^2</t>
  </si>
  <si>
    <t>x^2=r^2-y^2</t>
  </si>
  <si>
    <t>left</t>
  </si>
  <si>
    <t>top</t>
  </si>
  <si>
    <t>Recreation</t>
  </si>
  <si>
    <t>Logistics</t>
  </si>
  <si>
    <t>Weight on Ceres</t>
  </si>
  <si>
    <t>Newtons</t>
  </si>
  <si>
    <t>Tons</t>
  </si>
  <si>
    <t>Core Radius</t>
  </si>
  <si>
    <t>Outer Major Axis</t>
  </si>
  <si>
    <t>Outer Vertical Axis</t>
  </si>
  <si>
    <t>Elipsoid Volume Total</t>
  </si>
  <si>
    <t>Number of Domes</t>
  </si>
  <si>
    <t>Internal:</t>
  </si>
  <si>
    <t>Total Volume</t>
  </si>
  <si>
    <t>Reaction Density</t>
  </si>
  <si>
    <t>Cargo Volume</t>
  </si>
  <si>
    <t>Cargo Radius</t>
  </si>
  <si>
    <t>Cross Section</t>
  </si>
  <si>
    <t>Cargo Height</t>
  </si>
  <si>
    <t>deltav</t>
  </si>
  <si>
    <t>Engine mass</t>
  </si>
  <si>
    <t>w/kg</t>
  </si>
  <si>
    <t>Peak Output</t>
  </si>
  <si>
    <t>Reactor Mass</t>
  </si>
  <si>
    <t>Rector Volume</t>
  </si>
  <si>
    <t>Reactor Radius</t>
  </si>
  <si>
    <t>kg/kg</t>
  </si>
  <si>
    <t>wat/kg</t>
  </si>
  <si>
    <t>Lithium Deutride is exploded in volumes of propellent to produce thrust</t>
  </si>
  <si>
    <t>Back Estimation</t>
  </si>
  <si>
    <t>Stage</t>
  </si>
  <si>
    <t>m0</t>
  </si>
  <si>
    <t>mf</t>
  </si>
  <si>
    <t>propellant</t>
  </si>
  <si>
    <t>Fuel</t>
  </si>
  <si>
    <t>actual</t>
  </si>
  <si>
    <t>Total Propellent</t>
  </si>
  <si>
    <t>Total Fuel</t>
  </si>
  <si>
    <t>Crew and Effects</t>
  </si>
  <si>
    <t>Fusion</t>
  </si>
  <si>
    <t>TJ</t>
  </si>
  <si>
    <t>Lithium Deutride Chain Rections</t>
  </si>
  <si>
    <t>He4 + p</t>
  </si>
  <si>
    <t>He4 + n</t>
  </si>
  <si>
    <t>Li6 + n</t>
  </si>
  <si>
    <t>T + He4</t>
  </si>
  <si>
    <t>Li7 + n</t>
  </si>
  <si>
    <t>T + He4 + n</t>
  </si>
  <si>
    <t>J / kg</t>
  </si>
  <si>
    <t>Mollecular Weight of Propellent</t>
  </si>
  <si>
    <t>Atomic H</t>
  </si>
  <si>
    <t>Mollecular H</t>
  </si>
  <si>
    <t>Water</t>
  </si>
  <si>
    <t>Bolzman's Constant</t>
  </si>
  <si>
    <t>erg/K</t>
  </si>
  <si>
    <t>Avagadro Contant</t>
  </si>
  <si>
    <t>dalton</t>
  </si>
  <si>
    <t>Joule</t>
  </si>
  <si>
    <t>Propellent</t>
  </si>
  <si>
    <t>Cruising Speed</t>
  </si>
  <si>
    <t>Fusion Reactions</t>
  </si>
  <si>
    <t>Breeder Reactions</t>
  </si>
  <si>
    <t>((Li6+n)+(Li7+n))+D</t>
  </si>
  <si>
    <t>(T+He4+n)+D</t>
  </si>
  <si>
    <t>Fusion Fuel Consumed</t>
  </si>
  <si>
    <t>Water Molecular Mass</t>
  </si>
  <si>
    <t>Nuclear Yield to Thrust</t>
  </si>
  <si>
    <t>D+D (catalyzed)</t>
  </si>
  <si>
    <t>http://www.projectrho.com/public_html/rocket/supplement/ComparisonFusionAntiproton.pdf</t>
  </si>
  <si>
    <t>D+T (0.4/0.6)</t>
  </si>
  <si>
    <t>D + He3 (0.4/0.6)</t>
  </si>
  <si>
    <t>H + He4 + n</t>
  </si>
  <si>
    <t>mDot</t>
  </si>
  <si>
    <t>Fusion Energy</t>
  </si>
  <si>
    <t>Deuterium</t>
  </si>
  <si>
    <t>Tritium</t>
  </si>
  <si>
    <t>mollecular mass</t>
  </si>
  <si>
    <t>Ve</t>
  </si>
  <si>
    <t>Ep</t>
  </si>
  <si>
    <t>Neutron</t>
  </si>
  <si>
    <t>He4</t>
  </si>
  <si>
    <t>start mass</t>
  </si>
  <si>
    <t>end mass</t>
  </si>
  <si>
    <t>Hydrogen</t>
  </si>
  <si>
    <t>Proton</t>
  </si>
  <si>
    <t>Electron</t>
  </si>
  <si>
    <t>He3</t>
  </si>
  <si>
    <t>Speed of Light ©</t>
  </si>
  <si>
    <t>Ideal DeltaV / V0 ratio</t>
  </si>
  <si>
    <t>DeltaV</t>
  </si>
  <si>
    <t>Wet Mass</t>
  </si>
  <si>
    <t>gW</t>
  </si>
  <si>
    <t>Ve of Propellent</t>
  </si>
  <si>
    <t>Ve (theoretical)</t>
  </si>
  <si>
    <t>J (back-calculated)</t>
  </si>
  <si>
    <t>Fuel/Propellent Ratio</t>
  </si>
  <si>
    <t>Empty Hull</t>
  </si>
  <si>
    <t>Return Trip Profile</t>
  </si>
  <si>
    <t>Pluto</t>
  </si>
  <si>
    <t>Coast</t>
  </si>
  <si>
    <t>Decelleration</t>
  </si>
  <si>
    <t>Calendar</t>
  </si>
  <si>
    <t>Arrival At Worksite</t>
  </si>
  <si>
    <t>Comet Processed</t>
  </si>
  <si>
    <t>Comet</t>
  </si>
  <si>
    <t>Psyche</t>
  </si>
  <si>
    <t>Decel</t>
  </si>
  <si>
    <t>Arrival at Psyche</t>
  </si>
  <si>
    <t>Daily Fuel Consumption</t>
  </si>
  <si>
    <t>Fuel Consumed</t>
  </si>
  <si>
    <t>Daily Fuel Consumtion</t>
  </si>
  <si>
    <t>Heavy Water Tank</t>
  </si>
  <si>
    <t>Lithium Deuteride Production</t>
  </si>
  <si>
    <t>moles (LD)</t>
  </si>
  <si>
    <t>Heavy Water (cargo)</t>
  </si>
  <si>
    <t>mass (LD)</t>
  </si>
  <si>
    <t>mass (tank)</t>
  </si>
  <si>
    <t>efficient</t>
  </si>
  <si>
    <t>maxg</t>
  </si>
  <si>
    <t>Bulk Cargo</t>
  </si>
  <si>
    <t>Total Tank Volume</t>
  </si>
  <si>
    <t>Lithium Deuteride Tank</t>
  </si>
  <si>
    <t>Lithium Metal Tank</t>
  </si>
  <si>
    <t>Propellent Tank</t>
  </si>
  <si>
    <t>Docking Bay Volume</t>
  </si>
  <si>
    <t>Engineering Volume</t>
  </si>
  <si>
    <t>phasestart</t>
  </si>
  <si>
    <t>Mdot</t>
  </si>
  <si>
    <t>deltav (planned)</t>
  </si>
  <si>
    <t>Emergency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</si>
</sst>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0.0"/>
    <numFmt numFmtId="165" formatCode="0.0000000"/>
    <numFmt numFmtId="166" formatCode="#,##0.0"/>
    <numFmt numFmtId="167" formatCode="0.00000E+00"/>
    <numFmt numFmtId="168" formatCode="0.0%"/>
    <numFmt numFmtId="169" formatCode="0.00000"/>
    <numFmt numFmtId="170" formatCode="0.0000"/>
    <numFmt numFmtId="171" formatCode="0.000"/>
    <numFmt numFmtId="172" formatCode="0.000E+00"/>
    <numFmt numFmtId="173" formatCode="0.0000E+00"/>
  </numFmts>
  <fonts count="1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rgb="FF333333"/>
      <name val="Times New Roman"/>
      <family val="1"/>
    </font>
    <font>
      <u/>
      <sz val="12"/>
      <color theme="10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222222"/>
      <name val="Arial"/>
      <family val="2"/>
    </font>
    <font>
      <sz val="10"/>
      <color rgb="FF000000"/>
      <name val="Arial Unicode MS"/>
      <family val="2"/>
    </font>
    <font>
      <sz val="14"/>
      <color rgb="FF000099"/>
      <name val="-webkit-standard"/>
    </font>
    <font>
      <sz val="13"/>
      <color rgb="FF333333"/>
      <name val="Arial"/>
      <family val="2"/>
    </font>
    <font>
      <b/>
      <sz val="12"/>
      <color theme="1"/>
      <name val="Calibri"/>
      <family val="2"/>
      <scheme val="minor"/>
    </font>
    <font>
      <sz val="13"/>
      <color rgb="FF000000"/>
      <name val="Georgia"/>
      <family val="1"/>
    </font>
    <font>
      <sz val="13"/>
      <color rgb="FF666666"/>
      <name val="Arial"/>
      <family val="2"/>
    </font>
    <font>
      <i/>
      <sz val="12"/>
      <color theme="1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sz val="12"/>
      <color rgb="FF202122"/>
      <name val="Arial"/>
      <family val="2"/>
    </font>
    <font>
      <sz val="12"/>
      <color rgb="FF000000"/>
      <name val="Roboto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C3F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9">
    <xf numFmtId="0" fontId="0" fillId="0" borderId="0" xfId="0"/>
    <xf numFmtId="0" fontId="0" fillId="0" borderId="0" xfId="0" applyAlignment="1">
      <alignment horizontal="center"/>
    </xf>
    <xf numFmtId="11" fontId="0" fillId="0" borderId="0" xfId="0" applyNumberFormat="1"/>
    <xf numFmtId="2" fontId="0" fillId="0" borderId="0" xfId="0" applyNumberFormat="1"/>
    <xf numFmtId="164" fontId="0" fillId="0" borderId="0" xfId="0" applyNumberFormat="1"/>
    <xf numFmtId="0" fontId="0" fillId="0" borderId="0" xfId="0" applyFill="1"/>
    <xf numFmtId="165" fontId="0" fillId="0" borderId="0" xfId="0" applyNumberFormat="1"/>
    <xf numFmtId="2" fontId="0" fillId="0" borderId="0" xfId="0" applyNumberFormat="1" applyFill="1"/>
    <xf numFmtId="164" fontId="0" fillId="0" borderId="0" xfId="0" applyNumberFormat="1" applyFill="1"/>
    <xf numFmtId="0" fontId="0" fillId="2" borderId="0" xfId="0" applyFill="1"/>
    <xf numFmtId="164" fontId="0" fillId="2" borderId="0" xfId="0" applyNumberFormat="1" applyFill="1"/>
    <xf numFmtId="166" fontId="2" fillId="0" borderId="0" xfId="0" applyNumberFormat="1" applyFont="1"/>
    <xf numFmtId="167" fontId="0" fillId="0" borderId="0" xfId="0" applyNumberFormat="1"/>
    <xf numFmtId="0" fontId="0" fillId="0" borderId="0" xfId="0" applyNumberFormat="1"/>
    <xf numFmtId="0" fontId="3" fillId="0" borderId="0" xfId="2"/>
    <xf numFmtId="168" fontId="0" fillId="0" borderId="0" xfId="1" applyNumberFormat="1" applyFont="1"/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4" fillId="4" borderId="4" xfId="0" applyFont="1" applyFill="1" applyBorder="1"/>
    <xf numFmtId="0" fontId="4" fillId="4" borderId="5" xfId="0" applyFont="1" applyFill="1" applyBorder="1"/>
    <xf numFmtId="0" fontId="4" fillId="4" borderId="6" xfId="0" applyFont="1" applyFill="1" applyBorder="1"/>
    <xf numFmtId="0" fontId="0" fillId="6" borderId="1" xfId="0" applyFill="1" applyBorder="1"/>
    <xf numFmtId="0" fontId="0" fillId="6" borderId="2" xfId="0" applyFill="1" applyBorder="1"/>
    <xf numFmtId="0" fontId="0" fillId="6" borderId="3" xfId="0" applyFill="1" applyBorder="1"/>
    <xf numFmtId="0" fontId="4" fillId="6" borderId="4" xfId="0" applyFont="1" applyFill="1" applyBorder="1"/>
    <xf numFmtId="0" fontId="4" fillId="6" borderId="5" xfId="0" applyFont="1" applyFill="1" applyBorder="1"/>
    <xf numFmtId="0" fontId="4" fillId="6" borderId="6" xfId="0" applyFont="1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9" fontId="0" fillId="0" borderId="0" xfId="1" applyFont="1"/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172" fontId="0" fillId="0" borderId="0" xfId="0" applyNumberFormat="1"/>
    <xf numFmtId="11" fontId="0" fillId="2" borderId="0" xfId="0" applyNumberFormat="1" applyFill="1"/>
    <xf numFmtId="0" fontId="0" fillId="0" borderId="0" xfId="0" applyFont="1"/>
    <xf numFmtId="11" fontId="0" fillId="7" borderId="0" xfId="0" applyNumberFormat="1" applyFill="1"/>
    <xf numFmtId="0" fontId="0" fillId="8" borderId="0" xfId="0" applyFill="1"/>
    <xf numFmtId="11" fontId="0" fillId="8" borderId="0" xfId="0" applyNumberFormat="1" applyFill="1"/>
    <xf numFmtId="11" fontId="0" fillId="4" borderId="0" xfId="0" applyNumberFormat="1" applyFill="1"/>
    <xf numFmtId="11" fontId="4" fillId="0" borderId="0" xfId="0" applyNumberFormat="1" applyFont="1"/>
    <xf numFmtId="164" fontId="0" fillId="7" borderId="0" xfId="0" applyNumberFormat="1" applyFill="1"/>
    <xf numFmtId="11" fontId="0" fillId="0" borderId="0" xfId="0" applyNumberFormat="1" applyFill="1"/>
    <xf numFmtId="1" fontId="0" fillId="0" borderId="0" xfId="0" applyNumberFormat="1"/>
    <xf numFmtId="0" fontId="0" fillId="7" borderId="0" xfId="0" applyFill="1"/>
    <xf numFmtId="2" fontId="0" fillId="5" borderId="0" xfId="0" applyNumberFormat="1" applyFill="1"/>
    <xf numFmtId="172" fontId="0" fillId="9" borderId="0" xfId="0" applyNumberFormat="1" applyFill="1"/>
    <xf numFmtId="172" fontId="0" fillId="7" borderId="0" xfId="0" applyNumberFormat="1" applyFill="1"/>
    <xf numFmtId="0" fontId="6" fillId="0" borderId="0" xfId="0" applyFont="1"/>
    <xf numFmtId="0" fontId="0" fillId="10" borderId="0" xfId="0" applyFill="1"/>
    <xf numFmtId="3" fontId="0" fillId="0" borderId="0" xfId="0" applyNumberFormat="1"/>
    <xf numFmtId="1" fontId="0" fillId="0" borderId="0" xfId="0" applyNumberFormat="1" applyFill="1"/>
    <xf numFmtId="2" fontId="0" fillId="7" borderId="0" xfId="0" applyNumberFormat="1" applyFill="1"/>
    <xf numFmtId="11" fontId="0" fillId="0" borderId="0" xfId="1" applyNumberFormat="1" applyFont="1"/>
    <xf numFmtId="0" fontId="7" fillId="0" borderId="0" xfId="0" applyFont="1"/>
    <xf numFmtId="3" fontId="7" fillId="0" borderId="0" xfId="0" applyNumberFormat="1" applyFont="1"/>
    <xf numFmtId="2" fontId="0" fillId="0" borderId="0" xfId="1" applyNumberFormat="1" applyFont="1"/>
    <xf numFmtId="0" fontId="8" fillId="0" borderId="0" xfId="0" applyFont="1"/>
    <xf numFmtId="0" fontId="4" fillId="0" borderId="0" xfId="0" applyFont="1"/>
    <xf numFmtId="0" fontId="0" fillId="12" borderId="0" xfId="0" applyFill="1"/>
    <xf numFmtId="0" fontId="4" fillId="12" borderId="0" xfId="0" applyFont="1" applyFill="1"/>
    <xf numFmtId="0" fontId="0" fillId="11" borderId="0" xfId="0" applyFill="1"/>
    <xf numFmtId="0" fontId="0" fillId="13" borderId="0" xfId="0" applyFill="1"/>
    <xf numFmtId="0" fontId="4" fillId="13" borderId="0" xfId="0" applyFont="1" applyFill="1"/>
    <xf numFmtId="11" fontId="0" fillId="0" borderId="0" xfId="0" applyNumberFormat="1" applyAlignment="1"/>
    <xf numFmtId="0" fontId="10" fillId="0" borderId="0" xfId="0" applyFont="1"/>
    <xf numFmtId="171" fontId="6" fillId="0" borderId="0" xfId="0" applyNumberFormat="1" applyFont="1"/>
    <xf numFmtId="2" fontId="6" fillId="0" borderId="0" xfId="0" applyNumberFormat="1" applyFont="1"/>
    <xf numFmtId="164" fontId="6" fillId="0" borderId="0" xfId="0" applyNumberFormat="1" applyFont="1"/>
    <xf numFmtId="11" fontId="6" fillId="0" borderId="0" xfId="0" applyNumberFormat="1" applyFont="1"/>
    <xf numFmtId="0" fontId="9" fillId="0" borderId="0" xfId="0" applyFont="1"/>
    <xf numFmtId="0" fontId="0" fillId="7" borderId="0" xfId="0" applyFont="1" applyFill="1"/>
    <xf numFmtId="11" fontId="0" fillId="6" borderId="0" xfId="0" applyNumberFormat="1" applyFill="1"/>
    <xf numFmtId="2" fontId="0" fillId="6" borderId="0" xfId="0" applyNumberFormat="1" applyFill="1"/>
    <xf numFmtId="164" fontId="0" fillId="6" borderId="0" xfId="0" applyNumberFormat="1" applyFill="1"/>
    <xf numFmtId="9" fontId="0" fillId="6" borderId="8" xfId="1" applyFont="1" applyFill="1" applyBorder="1"/>
    <xf numFmtId="3" fontId="0" fillId="0" borderId="0" xfId="0" applyNumberFormat="1" applyFont="1"/>
    <xf numFmtId="10" fontId="0" fillId="6" borderId="8" xfId="1" applyNumberFormat="1" applyFont="1" applyFill="1" applyBorder="1"/>
    <xf numFmtId="10" fontId="0" fillId="0" borderId="0" xfId="0" applyNumberFormat="1"/>
    <xf numFmtId="0" fontId="11" fillId="0" borderId="0" xfId="0" applyFont="1"/>
    <xf numFmtId="2" fontId="0" fillId="6" borderId="7" xfId="1" applyNumberFormat="1" applyFont="1" applyFill="1" applyBorder="1" applyAlignment="1">
      <alignment horizontal="center"/>
    </xf>
    <xf numFmtId="0" fontId="0" fillId="6" borderId="0" xfId="0" applyFont="1" applyFill="1"/>
    <xf numFmtId="9" fontId="0" fillId="6" borderId="0" xfId="1" applyFont="1" applyFill="1"/>
    <xf numFmtId="0" fontId="0" fillId="0" borderId="0" xfId="0" applyBorder="1"/>
    <xf numFmtId="2" fontId="0" fillId="8" borderId="0" xfId="0" applyNumberFormat="1" applyFill="1"/>
    <xf numFmtId="0" fontId="12" fillId="0" borderId="0" xfId="0" applyFont="1"/>
    <xf numFmtId="0" fontId="13" fillId="0" borderId="0" xfId="0" applyFont="1"/>
    <xf numFmtId="2" fontId="0" fillId="0" borderId="0" xfId="1" applyNumberFormat="1" applyFont="1" applyFill="1"/>
    <xf numFmtId="11" fontId="5" fillId="0" borderId="0" xfId="0" applyNumberFormat="1" applyFont="1"/>
    <xf numFmtId="0" fontId="0" fillId="0" borderId="1" xfId="0" applyBorder="1"/>
    <xf numFmtId="0" fontId="0" fillId="0" borderId="3" xfId="0" applyBorder="1"/>
    <xf numFmtId="0" fontId="0" fillId="0" borderId="9" xfId="0" applyBorder="1"/>
    <xf numFmtId="0" fontId="0" fillId="0" borderId="10" xfId="0" applyBorder="1"/>
    <xf numFmtId="1" fontId="0" fillId="0" borderId="9" xfId="0" applyNumberFormat="1" applyBorder="1"/>
    <xf numFmtId="2" fontId="0" fillId="6" borderId="12" xfId="1" applyNumberFormat="1" applyFont="1" applyFill="1" applyBorder="1"/>
    <xf numFmtId="2" fontId="0" fillId="6" borderId="13" xfId="1" applyNumberFormat="1" applyFont="1" applyFill="1" applyBorder="1"/>
    <xf numFmtId="2" fontId="0" fillId="6" borderId="14" xfId="1" applyNumberFormat="1" applyFont="1" applyFill="1" applyBorder="1"/>
    <xf numFmtId="10" fontId="0" fillId="6" borderId="15" xfId="1" applyNumberFormat="1" applyFont="1" applyFill="1" applyBorder="1"/>
    <xf numFmtId="9" fontId="0" fillId="6" borderId="16" xfId="1" applyFont="1" applyFill="1" applyBorder="1"/>
    <xf numFmtId="9" fontId="0" fillId="6" borderId="17" xfId="1" applyFont="1" applyFill="1" applyBorder="1"/>
    <xf numFmtId="10" fontId="0" fillId="6" borderId="17" xfId="1" applyNumberFormat="1" applyFont="1" applyFill="1" applyBorder="1"/>
    <xf numFmtId="9" fontId="0" fillId="6" borderId="18" xfId="1" applyFont="1" applyFill="1" applyBorder="1"/>
    <xf numFmtId="9" fontId="0" fillId="6" borderId="19" xfId="1" applyFont="1" applyFill="1" applyBorder="1"/>
    <xf numFmtId="9" fontId="0" fillId="6" borderId="20" xfId="1" applyFont="1" applyFill="1" applyBorder="1"/>
    <xf numFmtId="9" fontId="0" fillId="6" borderId="21" xfId="1" applyFont="1" applyFill="1" applyBorder="1"/>
    <xf numFmtId="9" fontId="0" fillId="6" borderId="22" xfId="1" applyFont="1" applyFill="1" applyBorder="1"/>
    <xf numFmtId="10" fontId="0" fillId="6" borderId="22" xfId="1" applyNumberFormat="1" applyFont="1" applyFill="1" applyBorder="1"/>
    <xf numFmtId="9" fontId="0" fillId="6" borderId="23" xfId="1" applyFont="1" applyFill="1" applyBorder="1"/>
    <xf numFmtId="1" fontId="0" fillId="6" borderId="11" xfId="0" applyNumberFormat="1" applyFill="1" applyBorder="1" applyAlignment="1"/>
    <xf numFmtId="1" fontId="0" fillId="6" borderId="12" xfId="0" applyNumberFormat="1" applyFill="1" applyBorder="1"/>
    <xf numFmtId="0" fontId="0" fillId="6" borderId="13" xfId="0" applyFill="1" applyBorder="1"/>
    <xf numFmtId="0" fontId="0" fillId="6" borderId="14" xfId="0" applyFill="1" applyBorder="1"/>
    <xf numFmtId="0" fontId="0" fillId="6" borderId="0" xfId="0" applyFill="1"/>
    <xf numFmtId="4" fontId="7" fillId="0" borderId="0" xfId="0" applyNumberFormat="1" applyFont="1"/>
    <xf numFmtId="0" fontId="0" fillId="0" borderId="0" xfId="0" applyAlignment="1">
      <alignment horizontal="center"/>
    </xf>
    <xf numFmtId="11" fontId="3" fillId="0" borderId="0" xfId="2" applyNumberFormat="1"/>
    <xf numFmtId="2" fontId="3" fillId="0" borderId="0" xfId="2" applyNumberFormat="1"/>
    <xf numFmtId="11" fontId="0" fillId="9" borderId="0" xfId="0" applyNumberFormat="1" applyFill="1"/>
    <xf numFmtId="14" fontId="0" fillId="0" borderId="0" xfId="0" applyNumberFormat="1"/>
    <xf numFmtId="16" fontId="0" fillId="0" borderId="0" xfId="0" applyNumberFormat="1"/>
    <xf numFmtId="173" fontId="0" fillId="0" borderId="0" xfId="0" applyNumberFormat="1"/>
    <xf numFmtId="11" fontId="0" fillId="0" borderId="0" xfId="0" applyNumberFormat="1" applyAlignment="1">
      <alignment horizontal="center"/>
    </xf>
    <xf numFmtId="9" fontId="0" fillId="0" borderId="0" xfId="0" applyNumberFormat="1"/>
    <xf numFmtId="172" fontId="0" fillId="0" borderId="0" xfId="0" applyNumberFormat="1" applyFill="1"/>
    <xf numFmtId="1" fontId="0" fillId="7" borderId="0" xfId="0" applyNumberFormat="1" applyFill="1"/>
    <xf numFmtId="2" fontId="4" fillId="0" borderId="0" xfId="0" applyNumberFormat="1" applyFont="1"/>
    <xf numFmtId="11" fontId="14" fillId="0" borderId="0" xfId="0" applyNumberFormat="1" applyFont="1"/>
    <xf numFmtId="0" fontId="4" fillId="7" borderId="0" xfId="0" applyFont="1" applyFill="1"/>
    <xf numFmtId="0" fontId="0" fillId="0" borderId="0" xfId="1" applyNumberFormat="1" applyFont="1"/>
    <xf numFmtId="11" fontId="0" fillId="5" borderId="0" xfId="0" applyNumberFormat="1" applyFill="1"/>
    <xf numFmtId="11" fontId="4" fillId="5" borderId="0" xfId="0" applyNumberFormat="1" applyFont="1" applyFill="1"/>
    <xf numFmtId="0" fontId="15" fillId="0" borderId="0" xfId="0" applyFon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C3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Dietary Content by Life Expectancy</a:t>
            </a:r>
            <a:r>
              <a:rPr lang="en-US" baseline="0"/>
              <a:t> (Highest Left)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Diet!$G$8</c:f>
              <c:strCache>
                <c:ptCount val="1"/>
                <c:pt idx="0">
                  <c:v>Other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Diet!$F$9:$F$21</c:f>
              <c:strCache>
                <c:ptCount val="13"/>
                <c:pt idx="0">
                  <c:v>Japan</c:v>
                </c:pt>
                <c:pt idx="1">
                  <c:v>Iceland</c:v>
                </c:pt>
                <c:pt idx="2">
                  <c:v>Australia</c:v>
                </c:pt>
                <c:pt idx="3">
                  <c:v>Canada</c:v>
                </c:pt>
                <c:pt idx="4">
                  <c:v>Ireland</c:v>
                </c:pt>
                <c:pt idx="5">
                  <c:v>United Kingdom</c:v>
                </c:pt>
                <c:pt idx="6">
                  <c:v>South Korea</c:v>
                </c:pt>
                <c:pt idx="7">
                  <c:v>United States</c:v>
                </c:pt>
                <c:pt idx="8">
                  <c:v>China</c:v>
                </c:pt>
                <c:pt idx="9">
                  <c:v>Saudi Arabia</c:v>
                </c:pt>
                <c:pt idx="10">
                  <c:v>Russia</c:v>
                </c:pt>
                <c:pt idx="11">
                  <c:v>India</c:v>
                </c:pt>
                <c:pt idx="12">
                  <c:v>Chad</c:v>
                </c:pt>
              </c:strCache>
            </c:strRef>
          </c:cat>
          <c:val>
            <c:numRef>
              <c:f>Diet!$G$9:$G$21</c:f>
              <c:numCache>
                <c:formatCode>General</c:formatCode>
                <c:ptCount val="13"/>
                <c:pt idx="0">
                  <c:v>49</c:v>
                </c:pt>
                <c:pt idx="1">
                  <c:v>120</c:v>
                </c:pt>
                <c:pt idx="2">
                  <c:v>68</c:v>
                </c:pt>
                <c:pt idx="3">
                  <c:v>45</c:v>
                </c:pt>
                <c:pt idx="4">
                  <c:v>48</c:v>
                </c:pt>
                <c:pt idx="5">
                  <c:v>93</c:v>
                </c:pt>
                <c:pt idx="6">
                  <c:v>47</c:v>
                </c:pt>
                <c:pt idx="7">
                  <c:v>30</c:v>
                </c:pt>
                <c:pt idx="8">
                  <c:v>25</c:v>
                </c:pt>
                <c:pt idx="9">
                  <c:v>110</c:v>
                </c:pt>
                <c:pt idx="10">
                  <c:v>36</c:v>
                </c:pt>
                <c:pt idx="11">
                  <c:v>27</c:v>
                </c:pt>
                <c:pt idx="12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0B-9B42-BCEA-08E680647757}"/>
            </c:ext>
          </c:extLst>
        </c:ser>
        <c:ser>
          <c:idx val="1"/>
          <c:order val="1"/>
          <c:tx>
            <c:strRef>
              <c:f>Diet!$H$8</c:f>
              <c:strCache>
                <c:ptCount val="1"/>
                <c:pt idx="0">
                  <c:v>Sugar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Diet!$F$9:$F$21</c:f>
              <c:strCache>
                <c:ptCount val="13"/>
                <c:pt idx="0">
                  <c:v>Japan</c:v>
                </c:pt>
                <c:pt idx="1">
                  <c:v>Iceland</c:v>
                </c:pt>
                <c:pt idx="2">
                  <c:v>Australia</c:v>
                </c:pt>
                <c:pt idx="3">
                  <c:v>Canada</c:v>
                </c:pt>
                <c:pt idx="4">
                  <c:v>Ireland</c:v>
                </c:pt>
                <c:pt idx="5">
                  <c:v>United Kingdom</c:v>
                </c:pt>
                <c:pt idx="6">
                  <c:v>South Korea</c:v>
                </c:pt>
                <c:pt idx="7">
                  <c:v>United States</c:v>
                </c:pt>
                <c:pt idx="8">
                  <c:v>China</c:v>
                </c:pt>
                <c:pt idx="9">
                  <c:v>Saudi Arabia</c:v>
                </c:pt>
                <c:pt idx="10">
                  <c:v>Russia</c:v>
                </c:pt>
                <c:pt idx="11">
                  <c:v>India</c:v>
                </c:pt>
                <c:pt idx="12">
                  <c:v>Chad</c:v>
                </c:pt>
              </c:strCache>
            </c:strRef>
          </c:cat>
          <c:val>
            <c:numRef>
              <c:f>Diet!$H$9:$H$21</c:f>
              <c:numCache>
                <c:formatCode>General</c:formatCode>
                <c:ptCount val="13"/>
                <c:pt idx="0">
                  <c:v>254</c:v>
                </c:pt>
                <c:pt idx="1">
                  <c:v>434</c:v>
                </c:pt>
                <c:pt idx="2">
                  <c:v>384</c:v>
                </c:pt>
                <c:pt idx="3">
                  <c:v>434</c:v>
                </c:pt>
                <c:pt idx="4">
                  <c:v>395</c:v>
                </c:pt>
                <c:pt idx="5">
                  <c:v>394</c:v>
                </c:pt>
                <c:pt idx="6">
                  <c:v>348</c:v>
                </c:pt>
                <c:pt idx="7">
                  <c:v>600</c:v>
                </c:pt>
                <c:pt idx="8">
                  <c:v>71</c:v>
                </c:pt>
                <c:pt idx="9">
                  <c:v>308</c:v>
                </c:pt>
                <c:pt idx="10">
                  <c:v>439</c:v>
                </c:pt>
                <c:pt idx="11">
                  <c:v>236</c:v>
                </c:pt>
                <c:pt idx="12">
                  <c:v>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0B-9B42-BCEA-08E680647757}"/>
            </c:ext>
          </c:extLst>
        </c:ser>
        <c:ser>
          <c:idx val="2"/>
          <c:order val="2"/>
          <c:tx>
            <c:strRef>
              <c:f>Diet!$I$8</c:f>
              <c:strCache>
                <c:ptCount val="1"/>
                <c:pt idx="0">
                  <c:v>Oils &amp; Fats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Diet!$F$9:$F$21</c:f>
              <c:strCache>
                <c:ptCount val="13"/>
                <c:pt idx="0">
                  <c:v>Japan</c:v>
                </c:pt>
                <c:pt idx="1">
                  <c:v>Iceland</c:v>
                </c:pt>
                <c:pt idx="2">
                  <c:v>Australia</c:v>
                </c:pt>
                <c:pt idx="3">
                  <c:v>Canada</c:v>
                </c:pt>
                <c:pt idx="4">
                  <c:v>Ireland</c:v>
                </c:pt>
                <c:pt idx="5">
                  <c:v>United Kingdom</c:v>
                </c:pt>
                <c:pt idx="6">
                  <c:v>South Korea</c:v>
                </c:pt>
                <c:pt idx="7">
                  <c:v>United States</c:v>
                </c:pt>
                <c:pt idx="8">
                  <c:v>China</c:v>
                </c:pt>
                <c:pt idx="9">
                  <c:v>Saudi Arabia</c:v>
                </c:pt>
                <c:pt idx="10">
                  <c:v>Russia</c:v>
                </c:pt>
                <c:pt idx="11">
                  <c:v>India</c:v>
                </c:pt>
                <c:pt idx="12">
                  <c:v>Chad</c:v>
                </c:pt>
              </c:strCache>
            </c:strRef>
          </c:cat>
          <c:val>
            <c:numRef>
              <c:f>Diet!$I$9:$I$21</c:f>
              <c:numCache>
                <c:formatCode>General</c:formatCode>
                <c:ptCount val="13"/>
                <c:pt idx="0">
                  <c:v>506</c:v>
                </c:pt>
                <c:pt idx="1">
                  <c:v>457</c:v>
                </c:pt>
                <c:pt idx="2">
                  <c:v>774</c:v>
                </c:pt>
                <c:pt idx="3">
                  <c:v>919</c:v>
                </c:pt>
                <c:pt idx="4">
                  <c:v>551</c:v>
                </c:pt>
                <c:pt idx="5">
                  <c:v>609</c:v>
                </c:pt>
                <c:pt idx="6">
                  <c:v>628</c:v>
                </c:pt>
                <c:pt idx="7">
                  <c:v>890</c:v>
                </c:pt>
                <c:pt idx="8">
                  <c:v>334</c:v>
                </c:pt>
                <c:pt idx="9">
                  <c:v>581</c:v>
                </c:pt>
                <c:pt idx="10">
                  <c:v>482</c:v>
                </c:pt>
                <c:pt idx="11">
                  <c:v>330</c:v>
                </c:pt>
                <c:pt idx="12">
                  <c:v>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0B-9B42-BCEA-08E680647757}"/>
            </c:ext>
          </c:extLst>
        </c:ser>
        <c:ser>
          <c:idx val="3"/>
          <c:order val="3"/>
          <c:tx>
            <c:strRef>
              <c:f>Diet!$J$8</c:f>
              <c:strCache>
                <c:ptCount val="1"/>
                <c:pt idx="0">
                  <c:v>Meat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Diet!$F$9:$F$21</c:f>
              <c:strCache>
                <c:ptCount val="13"/>
                <c:pt idx="0">
                  <c:v>Japan</c:v>
                </c:pt>
                <c:pt idx="1">
                  <c:v>Iceland</c:v>
                </c:pt>
                <c:pt idx="2">
                  <c:v>Australia</c:v>
                </c:pt>
                <c:pt idx="3">
                  <c:v>Canada</c:v>
                </c:pt>
                <c:pt idx="4">
                  <c:v>Ireland</c:v>
                </c:pt>
                <c:pt idx="5">
                  <c:v>United Kingdom</c:v>
                </c:pt>
                <c:pt idx="6">
                  <c:v>South Korea</c:v>
                </c:pt>
                <c:pt idx="7">
                  <c:v>United States</c:v>
                </c:pt>
                <c:pt idx="8">
                  <c:v>China</c:v>
                </c:pt>
                <c:pt idx="9">
                  <c:v>Saudi Arabia</c:v>
                </c:pt>
                <c:pt idx="10">
                  <c:v>Russia</c:v>
                </c:pt>
                <c:pt idx="11">
                  <c:v>India</c:v>
                </c:pt>
                <c:pt idx="12">
                  <c:v>Chad</c:v>
                </c:pt>
              </c:strCache>
            </c:strRef>
          </c:cat>
          <c:val>
            <c:numRef>
              <c:f>Diet!$J$9:$J$21</c:f>
              <c:numCache>
                <c:formatCode>General</c:formatCode>
                <c:ptCount val="13"/>
                <c:pt idx="0">
                  <c:v>318</c:v>
                </c:pt>
                <c:pt idx="1">
                  <c:v>710</c:v>
                </c:pt>
                <c:pt idx="2">
                  <c:v>517</c:v>
                </c:pt>
                <c:pt idx="3">
                  <c:v>390</c:v>
                </c:pt>
                <c:pt idx="4">
                  <c:v>439</c:v>
                </c:pt>
                <c:pt idx="5">
                  <c:v>476</c:v>
                </c:pt>
                <c:pt idx="6">
                  <c:v>388</c:v>
                </c:pt>
                <c:pt idx="7">
                  <c:v>459</c:v>
                </c:pt>
                <c:pt idx="8">
                  <c:v>533</c:v>
                </c:pt>
                <c:pt idx="9">
                  <c:v>281</c:v>
                </c:pt>
                <c:pt idx="10">
                  <c:v>372</c:v>
                </c:pt>
                <c:pt idx="11">
                  <c:v>24</c:v>
                </c:pt>
                <c:pt idx="12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50B-9B42-BCEA-08E680647757}"/>
            </c:ext>
          </c:extLst>
        </c:ser>
        <c:ser>
          <c:idx val="4"/>
          <c:order val="4"/>
          <c:tx>
            <c:strRef>
              <c:f>Diet!$K$8</c:f>
              <c:strCache>
                <c:ptCount val="1"/>
                <c:pt idx="0">
                  <c:v>Dairy &amp; Eggs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Diet!$F$9:$F$21</c:f>
              <c:strCache>
                <c:ptCount val="13"/>
                <c:pt idx="0">
                  <c:v>Japan</c:v>
                </c:pt>
                <c:pt idx="1">
                  <c:v>Iceland</c:v>
                </c:pt>
                <c:pt idx="2">
                  <c:v>Australia</c:v>
                </c:pt>
                <c:pt idx="3">
                  <c:v>Canada</c:v>
                </c:pt>
                <c:pt idx="4">
                  <c:v>Ireland</c:v>
                </c:pt>
                <c:pt idx="5">
                  <c:v>United Kingdom</c:v>
                </c:pt>
                <c:pt idx="6">
                  <c:v>South Korea</c:v>
                </c:pt>
                <c:pt idx="7">
                  <c:v>United States</c:v>
                </c:pt>
                <c:pt idx="8">
                  <c:v>China</c:v>
                </c:pt>
                <c:pt idx="9">
                  <c:v>Saudi Arabia</c:v>
                </c:pt>
                <c:pt idx="10">
                  <c:v>Russia</c:v>
                </c:pt>
                <c:pt idx="11">
                  <c:v>India</c:v>
                </c:pt>
                <c:pt idx="12">
                  <c:v>Chad</c:v>
                </c:pt>
              </c:strCache>
            </c:strRef>
          </c:cat>
          <c:val>
            <c:numRef>
              <c:f>Diet!$K$9:$K$21</c:f>
              <c:numCache>
                <c:formatCode>General</c:formatCode>
                <c:ptCount val="13"/>
                <c:pt idx="0">
                  <c:v>189</c:v>
                </c:pt>
                <c:pt idx="1">
                  <c:v>573</c:v>
                </c:pt>
                <c:pt idx="2">
                  <c:v>371</c:v>
                </c:pt>
                <c:pt idx="3">
                  <c:v>242</c:v>
                </c:pt>
                <c:pt idx="4">
                  <c:v>393</c:v>
                </c:pt>
                <c:pt idx="5">
                  <c:v>384</c:v>
                </c:pt>
                <c:pt idx="6">
                  <c:v>85</c:v>
                </c:pt>
                <c:pt idx="7">
                  <c:v>424</c:v>
                </c:pt>
                <c:pt idx="8">
                  <c:v>134</c:v>
                </c:pt>
                <c:pt idx="9">
                  <c:v>161</c:v>
                </c:pt>
                <c:pt idx="10">
                  <c:v>328</c:v>
                </c:pt>
                <c:pt idx="11">
                  <c:v>139</c:v>
                </c:pt>
                <c:pt idx="12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50B-9B42-BCEA-08E680647757}"/>
            </c:ext>
          </c:extLst>
        </c:ser>
        <c:ser>
          <c:idx val="5"/>
          <c:order val="5"/>
          <c:tx>
            <c:strRef>
              <c:f>Diet!$L$8</c:f>
              <c:strCache>
                <c:ptCount val="1"/>
                <c:pt idx="0">
                  <c:v>Fruits &amp; Vegetables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Diet!$F$9:$F$21</c:f>
              <c:strCache>
                <c:ptCount val="13"/>
                <c:pt idx="0">
                  <c:v>Japan</c:v>
                </c:pt>
                <c:pt idx="1">
                  <c:v>Iceland</c:v>
                </c:pt>
                <c:pt idx="2">
                  <c:v>Australia</c:v>
                </c:pt>
                <c:pt idx="3">
                  <c:v>Canada</c:v>
                </c:pt>
                <c:pt idx="4">
                  <c:v>Ireland</c:v>
                </c:pt>
                <c:pt idx="5">
                  <c:v>United Kingdom</c:v>
                </c:pt>
                <c:pt idx="6">
                  <c:v>South Korea</c:v>
                </c:pt>
                <c:pt idx="7">
                  <c:v>United States</c:v>
                </c:pt>
                <c:pt idx="8">
                  <c:v>China</c:v>
                </c:pt>
                <c:pt idx="9">
                  <c:v>Saudi Arabia</c:v>
                </c:pt>
                <c:pt idx="10">
                  <c:v>Russia</c:v>
                </c:pt>
                <c:pt idx="11">
                  <c:v>India</c:v>
                </c:pt>
                <c:pt idx="12">
                  <c:v>Chad</c:v>
                </c:pt>
              </c:strCache>
            </c:strRef>
          </c:cat>
          <c:val>
            <c:numRef>
              <c:f>Diet!$L$9:$L$21</c:f>
              <c:numCache>
                <c:formatCode>General</c:formatCode>
                <c:ptCount val="13"/>
                <c:pt idx="0">
                  <c:v>124</c:v>
                </c:pt>
                <c:pt idx="1">
                  <c:v>196</c:v>
                </c:pt>
                <c:pt idx="2">
                  <c:v>183</c:v>
                </c:pt>
                <c:pt idx="3">
                  <c:v>214</c:v>
                </c:pt>
                <c:pt idx="4">
                  <c:v>211</c:v>
                </c:pt>
                <c:pt idx="5">
                  <c:v>212</c:v>
                </c:pt>
                <c:pt idx="6">
                  <c:v>245</c:v>
                </c:pt>
                <c:pt idx="7">
                  <c:v>188</c:v>
                </c:pt>
                <c:pt idx="8">
                  <c:v>335</c:v>
                </c:pt>
                <c:pt idx="9">
                  <c:v>290</c:v>
                </c:pt>
                <c:pt idx="10">
                  <c:v>162</c:v>
                </c:pt>
                <c:pt idx="11">
                  <c:v>131</c:v>
                </c:pt>
                <c:pt idx="12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50B-9B42-BCEA-08E680647757}"/>
            </c:ext>
          </c:extLst>
        </c:ser>
        <c:ser>
          <c:idx val="6"/>
          <c:order val="6"/>
          <c:tx>
            <c:strRef>
              <c:f>Diet!$M$8</c:f>
              <c:strCache>
                <c:ptCount val="1"/>
                <c:pt idx="0">
                  <c:v>Starchy Roots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Diet!$F$9:$F$21</c:f>
              <c:strCache>
                <c:ptCount val="13"/>
                <c:pt idx="0">
                  <c:v>Japan</c:v>
                </c:pt>
                <c:pt idx="1">
                  <c:v>Iceland</c:v>
                </c:pt>
                <c:pt idx="2">
                  <c:v>Australia</c:v>
                </c:pt>
                <c:pt idx="3">
                  <c:v>Canada</c:v>
                </c:pt>
                <c:pt idx="4">
                  <c:v>Ireland</c:v>
                </c:pt>
                <c:pt idx="5">
                  <c:v>United Kingdom</c:v>
                </c:pt>
                <c:pt idx="6">
                  <c:v>South Korea</c:v>
                </c:pt>
                <c:pt idx="7">
                  <c:v>United States</c:v>
                </c:pt>
                <c:pt idx="8">
                  <c:v>China</c:v>
                </c:pt>
                <c:pt idx="9">
                  <c:v>Saudi Arabia</c:v>
                </c:pt>
                <c:pt idx="10">
                  <c:v>Russia</c:v>
                </c:pt>
                <c:pt idx="11">
                  <c:v>India</c:v>
                </c:pt>
                <c:pt idx="12">
                  <c:v>Chad</c:v>
                </c:pt>
              </c:strCache>
            </c:strRef>
          </c:cat>
          <c:val>
            <c:numRef>
              <c:f>Diet!$M$9:$M$21</c:f>
              <c:numCache>
                <c:formatCode>General</c:formatCode>
                <c:ptCount val="13"/>
                <c:pt idx="0">
                  <c:v>60</c:v>
                </c:pt>
                <c:pt idx="1">
                  <c:v>54</c:v>
                </c:pt>
                <c:pt idx="2">
                  <c:v>90</c:v>
                </c:pt>
                <c:pt idx="3">
                  <c:v>120</c:v>
                </c:pt>
                <c:pt idx="4">
                  <c:v>154</c:v>
                </c:pt>
                <c:pt idx="5">
                  <c:v>181</c:v>
                </c:pt>
                <c:pt idx="6">
                  <c:v>40</c:v>
                </c:pt>
                <c:pt idx="7">
                  <c:v>92</c:v>
                </c:pt>
                <c:pt idx="8">
                  <c:v>152</c:v>
                </c:pt>
                <c:pt idx="9">
                  <c:v>39</c:v>
                </c:pt>
                <c:pt idx="10">
                  <c:v>207</c:v>
                </c:pt>
                <c:pt idx="11">
                  <c:v>60</c:v>
                </c:pt>
                <c:pt idx="12">
                  <c:v>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50B-9B42-BCEA-08E680647757}"/>
            </c:ext>
          </c:extLst>
        </c:ser>
        <c:ser>
          <c:idx val="7"/>
          <c:order val="7"/>
          <c:tx>
            <c:strRef>
              <c:f>Diet!$N$8</c:f>
              <c:strCache>
                <c:ptCount val="1"/>
                <c:pt idx="0">
                  <c:v>Pulses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Diet!$F$9:$F$21</c:f>
              <c:strCache>
                <c:ptCount val="13"/>
                <c:pt idx="0">
                  <c:v>Japan</c:v>
                </c:pt>
                <c:pt idx="1">
                  <c:v>Iceland</c:v>
                </c:pt>
                <c:pt idx="2">
                  <c:v>Australia</c:v>
                </c:pt>
                <c:pt idx="3">
                  <c:v>Canada</c:v>
                </c:pt>
                <c:pt idx="4">
                  <c:v>Ireland</c:v>
                </c:pt>
                <c:pt idx="5">
                  <c:v>United Kingdom</c:v>
                </c:pt>
                <c:pt idx="6">
                  <c:v>South Korea</c:v>
                </c:pt>
                <c:pt idx="7">
                  <c:v>United States</c:v>
                </c:pt>
                <c:pt idx="8">
                  <c:v>China</c:v>
                </c:pt>
                <c:pt idx="9">
                  <c:v>Saudi Arabia</c:v>
                </c:pt>
                <c:pt idx="10">
                  <c:v>Russia</c:v>
                </c:pt>
                <c:pt idx="11">
                  <c:v>India</c:v>
                </c:pt>
                <c:pt idx="12">
                  <c:v>Chad</c:v>
                </c:pt>
              </c:strCache>
            </c:strRef>
          </c:cat>
          <c:val>
            <c:numRef>
              <c:f>Diet!$N$9:$N$21</c:f>
              <c:numCache>
                <c:formatCode>General</c:formatCode>
                <c:ptCount val="13"/>
                <c:pt idx="0">
                  <c:v>13</c:v>
                </c:pt>
                <c:pt idx="1">
                  <c:v>7</c:v>
                </c:pt>
                <c:pt idx="2">
                  <c:v>12</c:v>
                </c:pt>
                <c:pt idx="3">
                  <c:v>115</c:v>
                </c:pt>
                <c:pt idx="4">
                  <c:v>31</c:v>
                </c:pt>
                <c:pt idx="5">
                  <c:v>32</c:v>
                </c:pt>
                <c:pt idx="6">
                  <c:v>12</c:v>
                </c:pt>
                <c:pt idx="7">
                  <c:v>39</c:v>
                </c:pt>
                <c:pt idx="8">
                  <c:v>12</c:v>
                </c:pt>
                <c:pt idx="9">
                  <c:v>58</c:v>
                </c:pt>
                <c:pt idx="10">
                  <c:v>17</c:v>
                </c:pt>
                <c:pt idx="11">
                  <c:v>137</c:v>
                </c:pt>
                <c:pt idx="12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50B-9B42-BCEA-08E680647757}"/>
            </c:ext>
          </c:extLst>
        </c:ser>
        <c:ser>
          <c:idx val="8"/>
          <c:order val="8"/>
          <c:tx>
            <c:strRef>
              <c:f>Diet!$O$8</c:f>
              <c:strCache>
                <c:ptCount val="1"/>
                <c:pt idx="0">
                  <c:v>Cereals &amp; Grains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Diet!$F$9:$F$21</c:f>
              <c:strCache>
                <c:ptCount val="13"/>
                <c:pt idx="0">
                  <c:v>Japan</c:v>
                </c:pt>
                <c:pt idx="1">
                  <c:v>Iceland</c:v>
                </c:pt>
                <c:pt idx="2">
                  <c:v>Australia</c:v>
                </c:pt>
                <c:pt idx="3">
                  <c:v>Canada</c:v>
                </c:pt>
                <c:pt idx="4">
                  <c:v>Ireland</c:v>
                </c:pt>
                <c:pt idx="5">
                  <c:v>United Kingdom</c:v>
                </c:pt>
                <c:pt idx="6">
                  <c:v>South Korea</c:v>
                </c:pt>
                <c:pt idx="7">
                  <c:v>United States</c:v>
                </c:pt>
                <c:pt idx="8">
                  <c:v>China</c:v>
                </c:pt>
                <c:pt idx="9">
                  <c:v>Saudi Arabia</c:v>
                </c:pt>
                <c:pt idx="10">
                  <c:v>Russia</c:v>
                </c:pt>
                <c:pt idx="11">
                  <c:v>India</c:v>
                </c:pt>
                <c:pt idx="12">
                  <c:v>Chad</c:v>
                </c:pt>
              </c:strCache>
            </c:strRef>
          </c:cat>
          <c:val>
            <c:numRef>
              <c:f>Diet!$O$9:$O$21</c:f>
              <c:numCache>
                <c:formatCode>General</c:formatCode>
                <c:ptCount val="13"/>
                <c:pt idx="0">
                  <c:v>1082</c:v>
                </c:pt>
                <c:pt idx="1">
                  <c:v>698</c:v>
                </c:pt>
                <c:pt idx="2">
                  <c:v>741</c:v>
                </c:pt>
                <c:pt idx="3">
                  <c:v>909</c:v>
                </c:pt>
                <c:pt idx="4">
                  <c:v>1073</c:v>
                </c:pt>
                <c:pt idx="5">
                  <c:v>890</c:v>
                </c:pt>
                <c:pt idx="6">
                  <c:v>1406</c:v>
                </c:pt>
                <c:pt idx="7">
                  <c:v>801</c:v>
                </c:pt>
                <c:pt idx="8">
                  <c:v>1417</c:v>
                </c:pt>
                <c:pt idx="9">
                  <c:v>1427</c:v>
                </c:pt>
                <c:pt idx="10">
                  <c:v>1153</c:v>
                </c:pt>
                <c:pt idx="11">
                  <c:v>1361</c:v>
                </c:pt>
                <c:pt idx="12">
                  <c:v>1315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50B-9B42-BCEA-08E680647757}"/>
            </c:ext>
          </c:extLst>
        </c:ser>
        <c:ser>
          <c:idx val="9"/>
          <c:order val="9"/>
          <c:tx>
            <c:strRef>
              <c:f>Diet!$P$8</c:f>
              <c:strCache>
                <c:ptCount val="1"/>
                <c:pt idx="0">
                  <c:v>Alcoholic Beverages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Diet!$F$9:$F$21</c:f>
              <c:strCache>
                <c:ptCount val="13"/>
                <c:pt idx="0">
                  <c:v>Japan</c:v>
                </c:pt>
                <c:pt idx="1">
                  <c:v>Iceland</c:v>
                </c:pt>
                <c:pt idx="2">
                  <c:v>Australia</c:v>
                </c:pt>
                <c:pt idx="3">
                  <c:v>Canada</c:v>
                </c:pt>
                <c:pt idx="4">
                  <c:v>Ireland</c:v>
                </c:pt>
                <c:pt idx="5">
                  <c:v>United Kingdom</c:v>
                </c:pt>
                <c:pt idx="6">
                  <c:v>South Korea</c:v>
                </c:pt>
                <c:pt idx="7">
                  <c:v>United States</c:v>
                </c:pt>
                <c:pt idx="8">
                  <c:v>China</c:v>
                </c:pt>
                <c:pt idx="9">
                  <c:v>Saudi Arabia</c:v>
                </c:pt>
                <c:pt idx="10">
                  <c:v>Russia</c:v>
                </c:pt>
                <c:pt idx="11">
                  <c:v>India</c:v>
                </c:pt>
                <c:pt idx="12">
                  <c:v>Chad</c:v>
                </c:pt>
              </c:strCache>
            </c:strRef>
          </c:cat>
          <c:val>
            <c:numRef>
              <c:f>Diet!$P$9:$P$21</c:f>
              <c:numCache>
                <c:formatCode>General</c:formatCode>
                <c:ptCount val="13"/>
                <c:pt idx="0">
                  <c:v>131</c:v>
                </c:pt>
                <c:pt idx="1">
                  <c:v>131</c:v>
                </c:pt>
                <c:pt idx="2">
                  <c:v>136</c:v>
                </c:pt>
                <c:pt idx="3">
                  <c:v>106</c:v>
                </c:pt>
                <c:pt idx="4">
                  <c:v>305</c:v>
                </c:pt>
                <c:pt idx="5">
                  <c:v>153</c:v>
                </c:pt>
                <c:pt idx="6">
                  <c:v>135</c:v>
                </c:pt>
                <c:pt idx="7">
                  <c:v>159</c:v>
                </c:pt>
                <c:pt idx="8">
                  <c:v>95</c:v>
                </c:pt>
                <c:pt idx="9">
                  <c:v>0</c:v>
                </c:pt>
                <c:pt idx="10">
                  <c:v>165</c:v>
                </c:pt>
                <c:pt idx="11">
                  <c:v>14</c:v>
                </c:pt>
                <c:pt idx="12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50B-9B42-BCEA-08E680647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5506703"/>
        <c:axId val="1275594799"/>
      </c:lineChart>
      <c:catAx>
        <c:axId val="1275506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5594799"/>
        <c:crosses val="autoZero"/>
        <c:auto val="1"/>
        <c:lblAlgn val="ctr"/>
        <c:lblOffset val="100"/>
        <c:noMultiLvlLbl val="0"/>
      </c:catAx>
      <c:valAx>
        <c:axId val="12755947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55067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80818</xdr:colOff>
      <xdr:row>28</xdr:row>
      <xdr:rowOff>46183</xdr:rowOff>
    </xdr:from>
    <xdr:to>
      <xdr:col>15</xdr:col>
      <xdr:colOff>808182</xdr:colOff>
      <xdr:row>58</xdr:row>
      <xdr:rowOff>138545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70A0991-E2AA-074F-8531-0F9070446E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pubs.acs.org/doi/pdf/10.1021/bk-1978-0068.ch001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hysicsforums.com/threads/rocket-motion-calculating-distance.47615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35416-020F-0944-9A66-25BCA98D2542}">
  <dimension ref="A1:G47"/>
  <sheetViews>
    <sheetView workbookViewId="0">
      <selection activeCell="D21" sqref="D21"/>
    </sheetView>
  </sheetViews>
  <sheetFormatPr baseColWidth="10" defaultRowHeight="16"/>
  <cols>
    <col min="1" max="1" width="22.1640625" bestFit="1" customWidth="1"/>
    <col min="2" max="2" width="20.6640625" customWidth="1"/>
    <col min="3" max="3" width="14.1640625" bestFit="1" customWidth="1"/>
    <col min="4" max="4" width="12.1640625" bestFit="1" customWidth="1"/>
    <col min="5" max="5" width="11.6640625" bestFit="1" customWidth="1"/>
    <col min="6" max="6" width="12.1640625" bestFit="1" customWidth="1"/>
    <col min="8" max="8" width="20.1640625" bestFit="1" customWidth="1"/>
  </cols>
  <sheetData>
    <row r="1" spans="1:7">
      <c r="A1" t="s">
        <v>71</v>
      </c>
      <c r="B1" s="76">
        <v>2000</v>
      </c>
      <c r="E1" s="4"/>
      <c r="F1" t="s">
        <v>692</v>
      </c>
      <c r="G1" t="e">
        <f>VoyPluto!E34+VoyComet!C16+#REF!</f>
        <v>#REF!</v>
      </c>
    </row>
    <row r="2" spans="1:7">
      <c r="A2" t="s">
        <v>305</v>
      </c>
      <c r="B2" s="49">
        <v>3</v>
      </c>
      <c r="E2" s="56"/>
      <c r="F2" t="s">
        <v>823</v>
      </c>
      <c r="G2" s="3" t="e">
        <f>VoyComet!B6-VoyPluto!C5+'Isotope Plant'!C16</f>
        <v>#VALUE!</v>
      </c>
    </row>
    <row r="3" spans="1:7">
      <c r="A3" t="s">
        <v>650</v>
      </c>
      <c r="B3" s="43">
        <f>Habitat!I13/B2*Habitat!C16*0.91</f>
        <v>5191867.4995365757</v>
      </c>
      <c r="C3" s="58"/>
      <c r="D3" s="34"/>
    </row>
    <row r="4" spans="1:7">
      <c r="A4" s="90" t="s">
        <v>667</v>
      </c>
      <c r="B4" s="89">
        <f>CEILING(POWER(B3*3/(4*PI()),1/3),2.5)*4</f>
        <v>430</v>
      </c>
      <c r="C4" t="s">
        <v>1</v>
      </c>
      <c r="D4">
        <f>Conversion!B12*0.1</f>
        <v>0.98000000000000009</v>
      </c>
    </row>
    <row r="5" spans="1:7">
      <c r="A5" s="91"/>
      <c r="B5" s="92"/>
      <c r="C5" s="61"/>
    </row>
    <row r="6" spans="1:7">
      <c r="A6" t="s">
        <v>317</v>
      </c>
      <c r="B6" s="57">
        <v>350</v>
      </c>
      <c r="C6">
        <f>B6*2</f>
        <v>700</v>
      </c>
      <c r="E6" s="8"/>
    </row>
    <row r="7" spans="1:7">
      <c r="B7" s="2"/>
    </row>
    <row r="8" spans="1:7">
      <c r="A8" t="s">
        <v>837</v>
      </c>
      <c r="B8" s="2"/>
      <c r="D8" s="2">
        <f>D10*0.28</f>
        <v>20258212470.195465</v>
      </c>
      <c r="E8" t="s">
        <v>838</v>
      </c>
      <c r="F8" s="48">
        <f>D8*0.00010197162129779</f>
        <v>2065762.770180939</v>
      </c>
      <c r="G8" t="s">
        <v>839</v>
      </c>
    </row>
    <row r="9" spans="1:7">
      <c r="A9" t="s">
        <v>730</v>
      </c>
      <c r="B9" s="41">
        <v>8100000000</v>
      </c>
      <c r="C9" s="2">
        <f>VoyComet!C2</f>
        <v>9740254511.2195854</v>
      </c>
      <c r="D9" s="122">
        <f>B9</f>
        <v>8100000000</v>
      </c>
      <c r="E9" s="2" t="s">
        <v>34</v>
      </c>
      <c r="F9" s="3"/>
      <c r="G9" s="2"/>
    </row>
    <row r="10" spans="1:7">
      <c r="A10" t="s">
        <v>784</v>
      </c>
      <c r="B10" s="41">
        <f>B11+B9</f>
        <v>72610000000</v>
      </c>
      <c r="C10" s="2">
        <f>VoyComet!D6</f>
        <v>78352442442.567886</v>
      </c>
      <c r="D10" s="39">
        <f>SUM(D12:D16)+D9</f>
        <v>72350758822.126648</v>
      </c>
      <c r="E10" t="s">
        <v>34</v>
      </c>
      <c r="F10" s="3">
        <f>D10/(1046000*1016.4)</f>
        <v>68.052917640303846</v>
      </c>
      <c r="G10" t="s">
        <v>44</v>
      </c>
    </row>
    <row r="11" spans="1:7">
      <c r="A11" t="s">
        <v>42</v>
      </c>
      <c r="B11" s="41">
        <f>SUM(B12:B16)</f>
        <v>64510000000</v>
      </c>
      <c r="C11" s="2">
        <f>C10-C9</f>
        <v>68612187931.348297</v>
      </c>
      <c r="D11" s="39">
        <f>SUM(D12:D16)</f>
        <v>64250758822.12664</v>
      </c>
      <c r="F11" s="3"/>
    </row>
    <row r="12" spans="1:7">
      <c r="A12" t="s">
        <v>929</v>
      </c>
      <c r="B12" s="52">
        <v>51500000000</v>
      </c>
      <c r="D12" s="51">
        <f>SUM(Structure!B20:B32)</f>
        <v>51488987671.616867</v>
      </c>
      <c r="E12" t="s">
        <v>34</v>
      </c>
      <c r="F12" s="3">
        <f>D12/(1046000*1016.4)</f>
        <v>48.430395125690929</v>
      </c>
      <c r="G12" t="s">
        <v>44</v>
      </c>
    </row>
    <row r="13" spans="1:7">
      <c r="A13" t="s">
        <v>593</v>
      </c>
      <c r="B13" s="52">
        <v>11500000000</v>
      </c>
      <c r="D13" s="39">
        <f>Structure!B26*0.25+(Structure!B20+Structure!B21)*F13</f>
        <v>11251771150.509775</v>
      </c>
      <c r="E13" s="2" t="s">
        <v>34</v>
      </c>
      <c r="F13" s="41">
        <v>10</v>
      </c>
      <c r="G13" t="s">
        <v>549</v>
      </c>
    </row>
    <row r="14" spans="1:7">
      <c r="A14" t="s">
        <v>871</v>
      </c>
      <c r="B14" s="52">
        <f>F14*B1</f>
        <v>10000000</v>
      </c>
      <c r="D14" s="51">
        <f>F14*B1</f>
        <v>10000000</v>
      </c>
      <c r="E14" t="s">
        <v>114</v>
      </c>
      <c r="F14" s="52">
        <v>5000</v>
      </c>
      <c r="G14" t="s">
        <v>290</v>
      </c>
    </row>
    <row r="15" spans="1:7">
      <c r="A15" t="s">
        <v>204</v>
      </c>
      <c r="B15" s="41">
        <v>1000000000</v>
      </c>
      <c r="D15" s="2">
        <f>B15</f>
        <v>1000000000</v>
      </c>
      <c r="E15" s="2"/>
    </row>
    <row r="16" spans="1:7">
      <c r="A16" t="s">
        <v>825</v>
      </c>
      <c r="B16" s="41">
        <v>500000000</v>
      </c>
      <c r="D16" s="2">
        <f>B16</f>
        <v>500000000</v>
      </c>
      <c r="E16" s="2"/>
    </row>
    <row r="18" spans="1:7">
      <c r="A18" t="s">
        <v>944</v>
      </c>
      <c r="B18" s="2">
        <v>5000000000</v>
      </c>
      <c r="E18" s="2"/>
      <c r="G18" s="2"/>
    </row>
    <row r="19" spans="1:7">
      <c r="A19" t="s">
        <v>43</v>
      </c>
      <c r="B19" s="52">
        <v>5000000000</v>
      </c>
      <c r="C19" s="2">
        <f>VoyComet!C3</f>
        <v>8522327379.3783474</v>
      </c>
      <c r="D19" s="51">
        <f>'Isotope Plant'!C42</f>
        <v>6457192274.4306726</v>
      </c>
      <c r="E19" s="2" t="s">
        <v>34</v>
      </c>
      <c r="F19" s="2" t="s">
        <v>824</v>
      </c>
    </row>
    <row r="20" spans="1:7">
      <c r="A20" t="s">
        <v>818</v>
      </c>
      <c r="B20" s="41">
        <v>5000000000</v>
      </c>
      <c r="D20" s="2">
        <f>B20</f>
        <v>5000000000</v>
      </c>
    </row>
    <row r="22" spans="1:7">
      <c r="B22" s="49"/>
      <c r="E22" t="s">
        <v>297</v>
      </c>
      <c r="F22" t="s">
        <v>296</v>
      </c>
    </row>
    <row r="23" spans="1:7">
      <c r="B23" s="39">
        <f>SUM(B12:B18)</f>
        <v>69510000000</v>
      </c>
      <c r="C23" t="s">
        <v>34</v>
      </c>
      <c r="E23" s="2"/>
    </row>
    <row r="24" spans="1:7">
      <c r="A24" t="s">
        <v>124</v>
      </c>
      <c r="B24" s="43">
        <f>D24*10</f>
        <v>10000</v>
      </c>
      <c r="D24">
        <v>1000</v>
      </c>
    </row>
    <row r="25" spans="1:7">
      <c r="B25" s="2"/>
      <c r="C25" s="37"/>
      <c r="D25" s="37"/>
    </row>
    <row r="26" spans="1:7">
      <c r="A26" t="s">
        <v>42</v>
      </c>
      <c r="B26" s="38">
        <f>D12</f>
        <v>51488987671.616867</v>
      </c>
      <c r="C26" s="6">
        <f>Structure!B20/D12</f>
        <v>1.8951546795288288E-7</v>
      </c>
      <c r="D26" s="6"/>
    </row>
    <row r="27" spans="1:7">
      <c r="B27" s="50">
        <f>D12/Conversion!B32</f>
        <v>48.430395125690929</v>
      </c>
      <c r="C27" t="s">
        <v>44</v>
      </c>
    </row>
    <row r="28" spans="1:7">
      <c r="A28" t="s">
        <v>130</v>
      </c>
      <c r="B28" s="39">
        <f>'Power Consumption'!C40</f>
        <v>5.0520903105145081E-11</v>
      </c>
      <c r="C28" t="s">
        <v>132</v>
      </c>
      <c r="E28" t="s">
        <v>131</v>
      </c>
      <c r="F28" t="s">
        <v>37</v>
      </c>
    </row>
    <row r="29" spans="1:7">
      <c r="B29" s="2"/>
      <c r="F29" s="14"/>
    </row>
    <row r="31" spans="1:7">
      <c r="C31" s="2"/>
    </row>
    <row r="32" spans="1:7">
      <c r="C32" s="2"/>
      <c r="D32" s="2"/>
    </row>
    <row r="35" spans="2:7">
      <c r="C35" s="2"/>
    </row>
    <row r="37" spans="2:7">
      <c r="C37" s="2"/>
    </row>
    <row r="38" spans="2:7">
      <c r="C38" s="36"/>
      <c r="E38" s="2"/>
      <c r="G38" s="2"/>
    </row>
    <row r="39" spans="2:7">
      <c r="C39" s="2"/>
      <c r="E39" s="2"/>
      <c r="G39" s="2"/>
    </row>
    <row r="40" spans="2:7">
      <c r="B40" s="2"/>
    </row>
    <row r="41" spans="2:7">
      <c r="B41" s="2"/>
    </row>
    <row r="42" spans="2:7">
      <c r="B42" s="45"/>
    </row>
    <row r="43" spans="2:7">
      <c r="B43" s="2"/>
    </row>
    <row r="44" spans="2:7">
      <c r="B44" s="2"/>
    </row>
    <row r="46" spans="2:7">
      <c r="B46" s="2"/>
    </row>
    <row r="47" spans="2:7">
      <c r="B47" s="2"/>
      <c r="C47" s="3"/>
    </row>
  </sheetData>
  <pageMargins left="0.7" right="0.7" top="0.75" bottom="0.75" header="0.3" footer="0.3"/>
  <pageSetup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4B4C5-A6E9-7042-BFF6-F62F39B67A60}">
  <dimension ref="A1:H48"/>
  <sheetViews>
    <sheetView topLeftCell="A20" workbookViewId="0">
      <selection activeCell="C29" sqref="C29"/>
    </sheetView>
  </sheetViews>
  <sheetFormatPr baseColWidth="10" defaultRowHeight="16"/>
  <cols>
    <col min="3" max="3" width="13.6640625" bestFit="1" customWidth="1"/>
    <col min="5" max="5" width="11.6640625" bestFit="1" customWidth="1"/>
  </cols>
  <sheetData>
    <row r="1" spans="1:8">
      <c r="A1" t="s">
        <v>710</v>
      </c>
      <c r="C1" s="2">
        <f>5*1628.2</f>
        <v>8141</v>
      </c>
      <c r="D1" s="36" t="s">
        <v>821</v>
      </c>
      <c r="E1" s="14" t="s">
        <v>711</v>
      </c>
    </row>
    <row r="2" spans="1:8">
      <c r="E2" s="14"/>
    </row>
    <row r="3" spans="1:8">
      <c r="A3" t="s">
        <v>717</v>
      </c>
      <c r="C3" s="2">
        <f>150*5</f>
        <v>750</v>
      </c>
      <c r="D3" s="36" t="s">
        <v>716</v>
      </c>
    </row>
    <row r="4" spans="1:8">
      <c r="A4" t="s">
        <v>719</v>
      </c>
      <c r="C4" s="48">
        <f>POWER(3/(4*PI())*C7,1/3)</f>
        <v>3253.4829528555124</v>
      </c>
      <c r="D4" t="s">
        <v>734</v>
      </c>
    </row>
    <row r="5" spans="1:8">
      <c r="A5" t="s">
        <v>720</v>
      </c>
      <c r="C5">
        <f>0.6*1000</f>
        <v>600</v>
      </c>
      <c r="D5" t="s">
        <v>174</v>
      </c>
    </row>
    <row r="6" spans="1:8">
      <c r="A6" t="s">
        <v>722</v>
      </c>
      <c r="C6">
        <v>0.95</v>
      </c>
    </row>
    <row r="7" spans="1:8">
      <c r="A7" t="s">
        <v>796</v>
      </c>
      <c r="C7" s="2">
        <f>C8/C5</f>
        <v>144256109669.77353</v>
      </c>
      <c r="D7" t="s">
        <v>173</v>
      </c>
    </row>
    <row r="8" spans="1:8">
      <c r="A8" t="s">
        <v>723</v>
      </c>
      <c r="C8" s="2">
        <f>C25*10000000/C3*C23/C20</f>
        <v>86553665801864.125</v>
      </c>
      <c r="D8" t="s">
        <v>721</v>
      </c>
    </row>
    <row r="10" spans="1:8">
      <c r="A10" t="s">
        <v>718</v>
      </c>
      <c r="C10" s="2">
        <f>C11*10000000/C3*C6</f>
        <v>777955206158.12964</v>
      </c>
      <c r="D10" s="36" t="s">
        <v>726</v>
      </c>
      <c r="E10" s="14"/>
    </row>
    <row r="11" spans="1:8">
      <c r="A11" t="s">
        <v>712</v>
      </c>
      <c r="C11" s="2">
        <f>C13/C1*(C3/150)</f>
        <v>61417516.275641814</v>
      </c>
      <c r="D11" s="36" t="s">
        <v>726</v>
      </c>
      <c r="E11" s="121"/>
    </row>
    <row r="12" spans="1:8">
      <c r="A12" t="s">
        <v>727</v>
      </c>
      <c r="C12" s="2">
        <f>C10*(1-C6)</f>
        <v>38897760307.906517</v>
      </c>
      <c r="D12" s="36" t="s">
        <v>726</v>
      </c>
      <c r="E12" s="121"/>
    </row>
    <row r="13" spans="1:8">
      <c r="A13" t="s">
        <v>676</v>
      </c>
      <c r="C13" s="2">
        <f>100000000000</f>
        <v>100000000000</v>
      </c>
      <c r="D13" s="36" t="s">
        <v>680</v>
      </c>
      <c r="E13" s="120">
        <f>C13/3.6</f>
        <v>27777777777.777779</v>
      </c>
      <c r="F13" t="s">
        <v>715</v>
      </c>
    </row>
    <row r="14" spans="1:8">
      <c r="B14" t="s">
        <v>797</v>
      </c>
      <c r="C14" s="2">
        <f>C13*'Power Consumption'!C40</f>
        <v>5.0520903105145081</v>
      </c>
      <c r="D14" s="36" t="s">
        <v>726</v>
      </c>
    </row>
    <row r="15" spans="1:8">
      <c r="C15" s="2"/>
      <c r="D15" s="36"/>
    </row>
    <row r="16" spans="1:8">
      <c r="A16" t="s">
        <v>945</v>
      </c>
      <c r="C16" s="3">
        <f>(C29)/C11</f>
        <v>198.90889316170873</v>
      </c>
      <c r="D16" s="36" t="s">
        <v>434</v>
      </c>
      <c r="E16" s="3">
        <f>C16/365.26</f>
        <v>0.54456796025217302</v>
      </c>
      <c r="F16" t="s">
        <v>724</v>
      </c>
      <c r="G16">
        <f>C16/7</f>
        <v>28.415556165958389</v>
      </c>
      <c r="H16" t="s">
        <v>751</v>
      </c>
    </row>
    <row r="17" spans="1:6">
      <c r="A17" t="s">
        <v>725</v>
      </c>
      <c r="C17" s="2">
        <f>C11*C16</f>
        <v>12216490183.129145</v>
      </c>
      <c r="E17" s="83">
        <f>(C17-C18)/C17</f>
        <v>0.30239150102640777</v>
      </c>
      <c r="F17" t="s">
        <v>950</v>
      </c>
    </row>
    <row r="18" spans="1:6">
      <c r="A18" t="s">
        <v>942</v>
      </c>
      <c r="C18" s="2">
        <f>VoyComet!C3</f>
        <v>8522327379.3783474</v>
      </c>
      <c r="D18" s="2"/>
      <c r="E18" s="3"/>
    </row>
    <row r="19" spans="1:6">
      <c r="C19" s="2"/>
      <c r="D19" s="2"/>
      <c r="E19" s="3"/>
    </row>
    <row r="20" spans="1:6">
      <c r="A20" t="s">
        <v>788</v>
      </c>
      <c r="C20" s="2">
        <v>6.0221407599999999E+23</v>
      </c>
    </row>
    <row r="21" spans="1:6">
      <c r="C21" s="2"/>
    </row>
    <row r="22" spans="1:6">
      <c r="A22" t="s">
        <v>795</v>
      </c>
      <c r="C22" s="2"/>
    </row>
    <row r="23" spans="1:6">
      <c r="B23" t="s">
        <v>791</v>
      </c>
      <c r="C23" s="125">
        <v>18.015280000000001</v>
      </c>
    </row>
    <row r="24" spans="1:6">
      <c r="A24" t="s">
        <v>150</v>
      </c>
      <c r="C24" s="2"/>
    </row>
    <row r="25" spans="1:6">
      <c r="B25" t="s">
        <v>946</v>
      </c>
      <c r="C25" s="2">
        <f>C32/2</f>
        <v>2.1699844191409628E+32</v>
      </c>
    </row>
    <row r="26" spans="1:6">
      <c r="B26" t="s">
        <v>791</v>
      </c>
      <c r="C26" s="3">
        <f>Performance!C65*2+15.999</f>
        <v>20.027203556220002</v>
      </c>
    </row>
    <row r="27" spans="1:6">
      <c r="B27" t="s">
        <v>948</v>
      </c>
      <c r="C27" s="2">
        <f>C25*C26/$C$20</f>
        <v>7216490183.1291447</v>
      </c>
    </row>
    <row r="28" spans="1:6">
      <c r="A28" t="s">
        <v>947</v>
      </c>
      <c r="B28" t="s">
        <v>949</v>
      </c>
      <c r="C28" s="2">
        <f>Vehicle!B18</f>
        <v>5000000000</v>
      </c>
    </row>
    <row r="29" spans="1:6">
      <c r="B29" t="s">
        <v>761</v>
      </c>
      <c r="C29" s="125">
        <f>C27+C28</f>
        <v>12216490183.129145</v>
      </c>
    </row>
    <row r="30" spans="1:6">
      <c r="C30" s="125"/>
    </row>
    <row r="31" spans="1:6">
      <c r="A31" t="s">
        <v>39</v>
      </c>
      <c r="C31" s="2"/>
    </row>
    <row r="32" spans="1:6">
      <c r="B32" t="s">
        <v>794</v>
      </c>
      <c r="C32" s="2">
        <f>C34/C33*$C$20</f>
        <v>4.3399688382819257E+32</v>
      </c>
    </row>
    <row r="33" spans="1:5">
      <c r="B33" t="s">
        <v>791</v>
      </c>
      <c r="C33" s="3">
        <v>6.9379999999999997</v>
      </c>
    </row>
    <row r="34" spans="1:5">
      <c r="B34" t="s">
        <v>761</v>
      </c>
      <c r="C34" s="2">
        <f>Vehicle!B20</f>
        <v>5000000000</v>
      </c>
      <c r="D34" t="s">
        <v>34</v>
      </c>
      <c r="E34" s="2"/>
    </row>
    <row r="35" spans="1:5">
      <c r="B35" t="s">
        <v>792</v>
      </c>
      <c r="C35">
        <v>534</v>
      </c>
      <c r="D35" t="s">
        <v>174</v>
      </c>
    </row>
    <row r="36" spans="1:5">
      <c r="B36" t="s">
        <v>793</v>
      </c>
      <c r="C36" s="2">
        <f>C34/C35</f>
        <v>9363295.8801498134</v>
      </c>
      <c r="D36" t="s">
        <v>173</v>
      </c>
      <c r="E36" s="2"/>
    </row>
    <row r="37" spans="1:5">
      <c r="C37" s="3"/>
    </row>
    <row r="38" spans="1:5">
      <c r="A38" t="s">
        <v>789</v>
      </c>
    </row>
    <row r="39" spans="1:5">
      <c r="B39" t="s">
        <v>151</v>
      </c>
      <c r="C39" s="2">
        <f>C32</f>
        <v>4.3399688382819257E+32</v>
      </c>
    </row>
    <row r="40" spans="1:5">
      <c r="B40" t="s">
        <v>171</v>
      </c>
      <c r="C40">
        <v>780</v>
      </c>
    </row>
    <row r="41" spans="1:5">
      <c r="B41" t="s">
        <v>790</v>
      </c>
      <c r="C41">
        <v>8.9600000000000009</v>
      </c>
    </row>
    <row r="42" spans="1:5">
      <c r="B42" t="s">
        <v>281</v>
      </c>
      <c r="C42" s="2">
        <f>C39*C41/C20</f>
        <v>6457192274.4306726</v>
      </c>
      <c r="D42" t="s">
        <v>34</v>
      </c>
      <c r="E42" s="3">
        <f>C42/(2*VoyPluto!C38+C14*C16)</f>
        <v>1.6544250732256705</v>
      </c>
    </row>
    <row r="43" spans="1:5">
      <c r="B43" t="s">
        <v>306</v>
      </c>
      <c r="C43" s="2">
        <f>C42/C40</f>
        <v>8278451.6338854777</v>
      </c>
      <c r="D43" t="s">
        <v>173</v>
      </c>
    </row>
    <row r="44" spans="1:5">
      <c r="C44" s="3"/>
    </row>
    <row r="45" spans="1:5">
      <c r="A45" t="s">
        <v>730</v>
      </c>
    </row>
    <row r="46" spans="1:5">
      <c r="B46" t="s">
        <v>281</v>
      </c>
      <c r="C46" s="2">
        <f>Vehicle!B9</f>
        <v>8100000000</v>
      </c>
      <c r="D46" t="s">
        <v>34</v>
      </c>
      <c r="E46" s="2"/>
    </row>
    <row r="47" spans="1:5">
      <c r="B47" t="s">
        <v>792</v>
      </c>
      <c r="C47">
        <v>916.7</v>
      </c>
    </row>
    <row r="48" spans="1:5">
      <c r="B48" t="s">
        <v>793</v>
      </c>
      <c r="C48" s="2">
        <f>C46/C47</f>
        <v>8836042.3257336095</v>
      </c>
      <c r="D48" t="s">
        <v>173</v>
      </c>
      <c r="E48" s="2"/>
    </row>
  </sheetData>
  <hyperlinks>
    <hyperlink ref="E1" r:id="rId1" xr:uid="{6575E877-BD49-5D48-AF90-3766AC1E2AE8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3CF4E-982B-F64A-90C0-F8C4D2081E9D}">
  <dimension ref="A1:J48"/>
  <sheetViews>
    <sheetView topLeftCell="A15" workbookViewId="0">
      <selection activeCell="A37" sqref="A37"/>
    </sheetView>
  </sheetViews>
  <sheetFormatPr baseColWidth="10" defaultRowHeight="16"/>
  <cols>
    <col min="1" max="1" width="16.5" customWidth="1"/>
    <col min="3" max="3" width="28" customWidth="1"/>
    <col min="5" max="5" width="43.5" bestFit="1" customWidth="1"/>
    <col min="6" max="6" width="11.6640625" bestFit="1" customWidth="1"/>
  </cols>
  <sheetData>
    <row r="1" spans="1:10">
      <c r="A1" t="s">
        <v>120</v>
      </c>
      <c r="C1">
        <f>Vehicle!B1</f>
        <v>2000</v>
      </c>
      <c r="J1" s="2"/>
    </row>
    <row r="2" spans="1:10" ht="18">
      <c r="A2" t="s">
        <v>692</v>
      </c>
      <c r="C2" s="2" t="e">
        <f>Vehicle!G1</f>
        <v>#REF!</v>
      </c>
      <c r="D2" t="s">
        <v>4</v>
      </c>
      <c r="I2" s="93"/>
    </row>
    <row r="3" spans="1:10">
      <c r="A3" t="s">
        <v>692</v>
      </c>
      <c r="C3" s="3" t="e">
        <f>C2/365.25</f>
        <v>#REF!</v>
      </c>
      <c r="D3" t="s">
        <v>5</v>
      </c>
      <c r="H3" s="2"/>
      <c r="I3" s="2"/>
    </row>
    <row r="4" spans="1:10">
      <c r="A4" t="s">
        <v>127</v>
      </c>
      <c r="C4" s="2">
        <f>C7*3600*24*365.26</f>
        <v>31558464</v>
      </c>
      <c r="D4" t="s">
        <v>4</v>
      </c>
    </row>
    <row r="5" spans="1:10">
      <c r="A5" t="s">
        <v>127</v>
      </c>
      <c r="C5" s="2" t="e">
        <f>Vehicle!G2</f>
        <v>#VALUE!</v>
      </c>
      <c r="D5" t="s">
        <v>434</v>
      </c>
    </row>
    <row r="6" spans="1:10">
      <c r="A6" t="s">
        <v>127</v>
      </c>
      <c r="C6" s="3" t="e">
        <f>C5/365.26</f>
        <v>#VALUE!</v>
      </c>
      <c r="D6" t="s">
        <v>5</v>
      </c>
    </row>
    <row r="7" spans="1:10">
      <c r="A7" t="s">
        <v>128</v>
      </c>
      <c r="C7" s="3">
        <v>1</v>
      </c>
      <c r="D7" t="s">
        <v>5</v>
      </c>
    </row>
    <row r="8" spans="1:10">
      <c r="A8" t="s">
        <v>152</v>
      </c>
      <c r="C8" s="2">
        <f>1*1000000</f>
        <v>1000000</v>
      </c>
      <c r="D8" t="s">
        <v>136</v>
      </c>
      <c r="E8" t="s">
        <v>709</v>
      </c>
      <c r="F8" s="3"/>
    </row>
    <row r="9" spans="1:10">
      <c r="C9" s="2">
        <f>C8*Conversion!C38</f>
        <v>86400000</v>
      </c>
      <c r="D9" t="s">
        <v>678</v>
      </c>
    </row>
    <row r="10" spans="1:10">
      <c r="C10" s="2"/>
    </row>
    <row r="11" spans="1:10">
      <c r="A11" t="s">
        <v>121</v>
      </c>
      <c r="C11" s="9">
        <f>1*18775</f>
        <v>18775</v>
      </c>
      <c r="D11" t="s">
        <v>134</v>
      </c>
      <c r="E11" t="s">
        <v>133</v>
      </c>
    </row>
    <row r="12" spans="1:10">
      <c r="A12" t="s">
        <v>122</v>
      </c>
      <c r="C12" s="2">
        <f>(C11*C1)/Conversion!B2</f>
        <v>102806.29705681041</v>
      </c>
      <c r="D12" t="s">
        <v>679</v>
      </c>
    </row>
    <row r="13" spans="1:10">
      <c r="C13" s="2">
        <f>C12*Conversion!B38</f>
        <v>1189.887697416787</v>
      </c>
      <c r="D13" t="s">
        <v>136</v>
      </c>
    </row>
    <row r="14" spans="1:10">
      <c r="C14" s="2"/>
      <c r="E14" t="s">
        <v>521</v>
      </c>
    </row>
    <row r="15" spans="1:10">
      <c r="A15" t="s">
        <v>182</v>
      </c>
      <c r="C15" s="48">
        <f>SUM(Crops!AF:AF)*Conversion!B33</f>
        <v>16275.847090862642</v>
      </c>
      <c r="D15" t="s">
        <v>134</v>
      </c>
      <c r="E15" t="s">
        <v>519</v>
      </c>
    </row>
    <row r="16" spans="1:10">
      <c r="C16" s="48">
        <f>C15/Conversion!B2</f>
        <v>44.560840768960006</v>
      </c>
      <c r="D16" t="s">
        <v>680</v>
      </c>
      <c r="E16" t="s">
        <v>520</v>
      </c>
    </row>
    <row r="17" spans="1:7">
      <c r="C17" s="3">
        <f>C15*Conversion!B37</f>
        <v>0.51575047186296297</v>
      </c>
      <c r="D17" t="s">
        <v>136</v>
      </c>
      <c r="E17" t="s">
        <v>669</v>
      </c>
    </row>
    <row r="18" spans="1:7">
      <c r="C18" s="3"/>
      <c r="E18" t="s">
        <v>521</v>
      </c>
    </row>
    <row r="19" spans="1:7">
      <c r="A19" t="s">
        <v>674</v>
      </c>
      <c r="E19" s="3" t="s">
        <v>668</v>
      </c>
    </row>
    <row r="20" spans="1:7">
      <c r="E20" s="3"/>
    </row>
    <row r="21" spans="1:7">
      <c r="C21" t="s">
        <v>690</v>
      </c>
      <c r="D21" t="s">
        <v>688</v>
      </c>
      <c r="E21" s="3" t="s">
        <v>689</v>
      </c>
    </row>
    <row r="22" spans="1:7">
      <c r="A22" t="s">
        <v>686</v>
      </c>
      <c r="C22">
        <v>120000</v>
      </c>
      <c r="D22" s="2">
        <v>1000</v>
      </c>
      <c r="E22" s="2">
        <v>100</v>
      </c>
      <c r="G22" t="s">
        <v>518</v>
      </c>
    </row>
    <row r="23" spans="1:7">
      <c r="A23" t="s">
        <v>687</v>
      </c>
      <c r="C23">
        <v>0.1</v>
      </c>
      <c r="D23" s="2">
        <v>100</v>
      </c>
      <c r="E23" s="2">
        <v>100</v>
      </c>
    </row>
    <row r="24" spans="1:7">
      <c r="A24" t="s">
        <v>670</v>
      </c>
      <c r="C24">
        <v>12</v>
      </c>
      <c r="D24" s="3">
        <v>12</v>
      </c>
      <c r="E24" s="3">
        <v>24</v>
      </c>
    </row>
    <row r="25" spans="1:7">
      <c r="A25" t="s">
        <v>123</v>
      </c>
      <c r="C25">
        <v>300</v>
      </c>
      <c r="D25">
        <v>266</v>
      </c>
      <c r="E25">
        <v>266</v>
      </c>
      <c r="G25" t="s">
        <v>522</v>
      </c>
    </row>
    <row r="26" spans="1:7">
      <c r="A26" t="s">
        <v>280</v>
      </c>
      <c r="C26" s="2">
        <f>Habitat!J7+Habitat!I9</f>
        <v>3261471.1247666352</v>
      </c>
      <c r="D26" s="2">
        <f>Habitat!I8+Habitat!I11</f>
        <v>1050000</v>
      </c>
      <c r="E26" s="2">
        <f>Habitat!J13-C26-D26</f>
        <v>1181760.7096677967</v>
      </c>
    </row>
    <row r="27" spans="1:7">
      <c r="A27" t="s">
        <v>672</v>
      </c>
      <c r="C27" s="2">
        <f>C22/C25*C26</f>
        <v>1304588449.9066541</v>
      </c>
      <c r="D27" s="2">
        <f>D22/D25*D26</f>
        <v>3947368.4210526315</v>
      </c>
      <c r="E27" s="2">
        <f>E22/E25*E26</f>
        <v>444270.9434841341</v>
      </c>
      <c r="G27" t="s">
        <v>673</v>
      </c>
    </row>
    <row r="28" spans="1:7">
      <c r="A28" t="s">
        <v>135</v>
      </c>
      <c r="C28" s="2">
        <f>C22/C25*C26*C24*3.6+C23/C25*C26*(24-C24)*3.6</f>
        <v>56358268001.151649</v>
      </c>
      <c r="D28" s="2">
        <f>D22/D25*D26*D24*3.6+D23/D25*D26*(24-D24)*3.6</f>
        <v>187578947.36842105</v>
      </c>
      <c r="E28" s="2">
        <f>E22/E25*E26*E24*3.6+E23*E25*E26*(24-E24)*3.6</f>
        <v>38385009.517029189</v>
      </c>
      <c r="G28" t="s">
        <v>671</v>
      </c>
    </row>
    <row r="29" spans="1:7">
      <c r="C29" s="2"/>
    </row>
    <row r="30" spans="1:7">
      <c r="A30" t="s">
        <v>141</v>
      </c>
      <c r="C30" s="2">
        <v>0.04</v>
      </c>
      <c r="D30" t="s">
        <v>142</v>
      </c>
    </row>
    <row r="31" spans="1:7">
      <c r="A31" t="s">
        <v>146</v>
      </c>
      <c r="C31" s="2">
        <f>SUM(C27:E27)*C30</f>
        <v>52359203.570847638</v>
      </c>
      <c r="D31" s="36" t="s">
        <v>34</v>
      </c>
    </row>
    <row r="33" spans="1:8">
      <c r="C33" s="2"/>
      <c r="D33" s="36"/>
      <c r="F33" s="3">
        <f>SUM(C27:E27)/10000000</f>
        <v>130.89800892711909</v>
      </c>
      <c r="H33">
        <f>70/530*50</f>
        <v>6.6037735849056602</v>
      </c>
    </row>
    <row r="34" spans="1:8">
      <c r="A34" t="s">
        <v>675</v>
      </c>
      <c r="C34" s="2">
        <f>C13+C8+C17+SUM(C27:E27)</f>
        <v>1309981279.6746387</v>
      </c>
      <c r="D34" s="36" t="s">
        <v>673</v>
      </c>
      <c r="E34" s="3">
        <f>C34/10000000</f>
        <v>130.99812796746389</v>
      </c>
    </row>
    <row r="35" spans="1:8">
      <c r="A35" t="s">
        <v>676</v>
      </c>
      <c r="C35" s="2">
        <f>C12+C9+C16+SUM(C28:E28)</f>
        <v>56670734808.894997</v>
      </c>
      <c r="D35" t="s">
        <v>181</v>
      </c>
      <c r="E35" s="3">
        <f>C35/10000000</f>
        <v>5667.0734808894995</v>
      </c>
      <c r="F35" t="s">
        <v>523</v>
      </c>
      <c r="G35" s="2"/>
    </row>
    <row r="36" spans="1:8">
      <c r="A36" t="s">
        <v>941</v>
      </c>
      <c r="C36" s="3">
        <f>C35*C40</f>
        <v>2.8630567021775568</v>
      </c>
      <c r="D36" t="s">
        <v>726</v>
      </c>
      <c r="E36" s="3"/>
      <c r="G36" s="2"/>
    </row>
    <row r="37" spans="1:8">
      <c r="A37" t="s">
        <v>654</v>
      </c>
      <c r="C37" s="2">
        <f>C35*Conversion!B2</f>
        <v>20698985888948.898</v>
      </c>
      <c r="D37" t="s">
        <v>181</v>
      </c>
      <c r="E37" s="3"/>
    </row>
    <row r="38" spans="1:8">
      <c r="C38" s="2"/>
      <c r="E38" s="2"/>
    </row>
    <row r="39" spans="1:8">
      <c r="A39" t="s">
        <v>525</v>
      </c>
      <c r="B39" t="s">
        <v>526</v>
      </c>
    </row>
    <row r="40" spans="1:8">
      <c r="A40" t="s">
        <v>140</v>
      </c>
      <c r="C40" s="44">
        <f>(100+3000)/7000000000/Conversion!C4</f>
        <v>5.0520903105145081E-11</v>
      </c>
      <c r="D40" t="s">
        <v>138</v>
      </c>
      <c r="E40" t="s">
        <v>131</v>
      </c>
      <c r="F40" t="s">
        <v>37</v>
      </c>
    </row>
    <row r="41" spans="1:8">
      <c r="A41" t="s">
        <v>143</v>
      </c>
      <c r="C41" s="44">
        <v>1E-3</v>
      </c>
      <c r="D41" t="s">
        <v>129</v>
      </c>
    </row>
    <row r="42" spans="1:8">
      <c r="A42" t="s">
        <v>126</v>
      </c>
      <c r="C42" s="2">
        <v>1.1000000000000001</v>
      </c>
    </row>
    <row r="43" spans="1:8">
      <c r="A43" t="s">
        <v>682</v>
      </c>
      <c r="C43" s="2">
        <f>C34*C41</f>
        <v>1309981.2796746388</v>
      </c>
    </row>
    <row r="44" spans="1:8">
      <c r="A44" t="s">
        <v>144</v>
      </c>
      <c r="C44" s="2">
        <f>C37*C40*Conversion!C4</f>
        <v>9166693.750820227</v>
      </c>
      <c r="D44" t="s">
        <v>34</v>
      </c>
    </row>
    <row r="45" spans="1:8">
      <c r="C45" s="35"/>
    </row>
    <row r="46" spans="1:8">
      <c r="A46" t="s">
        <v>145</v>
      </c>
      <c r="C46" s="12">
        <f>C7*(C44)</f>
        <v>9166693.750820227</v>
      </c>
      <c r="D46" t="s">
        <v>34</v>
      </c>
      <c r="E46" t="s">
        <v>713</v>
      </c>
      <c r="F46" s="3"/>
    </row>
    <row r="47" spans="1:8">
      <c r="C47" s="3"/>
    </row>
    <row r="48" spans="1:8">
      <c r="C48" s="2"/>
    </row>
  </sheetData>
  <pageMargins left="0.7" right="0.7" top="0.75" bottom="0.75" header="0.3" footer="0.3"/>
  <pageSetup orientation="portrait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2313F-8851-C54C-99BB-2F5A73C6B364}">
  <sheetPr>
    <pageSetUpPr fitToPage="1"/>
  </sheetPr>
  <dimension ref="A1:J44"/>
  <sheetViews>
    <sheetView workbookViewId="0"/>
  </sheetViews>
  <sheetFormatPr baseColWidth="10" defaultRowHeight="16"/>
  <cols>
    <col min="1" max="1" width="19.1640625" bestFit="1" customWidth="1"/>
    <col min="2" max="2" width="22.1640625" bestFit="1" customWidth="1"/>
    <col min="3" max="3" width="4.6640625" customWidth="1"/>
    <col min="4" max="4" width="20.5" style="96" bestFit="1" customWidth="1"/>
    <col min="5" max="5" width="16.33203125" style="97" bestFit="1" customWidth="1"/>
    <col min="6" max="6" width="20.5" style="96" bestFit="1" customWidth="1"/>
    <col min="7" max="7" width="16.33203125" style="97" bestFit="1" customWidth="1"/>
  </cols>
  <sheetData>
    <row r="1" spans="1:8">
      <c r="A1" t="s">
        <v>564</v>
      </c>
      <c r="D1" s="94" t="e">
        <f>#REF!</f>
        <v>#REF!</v>
      </c>
      <c r="E1" s="95"/>
      <c r="F1" s="94" t="e">
        <f>Vehicle!#REF!</f>
        <v>#REF!</v>
      </c>
      <c r="G1" s="95"/>
      <c r="H1" t="s">
        <v>696</v>
      </c>
    </row>
    <row r="2" spans="1:8">
      <c r="D2" s="137" t="s">
        <v>697</v>
      </c>
      <c r="E2" s="138"/>
      <c r="F2" s="137" t="s">
        <v>691</v>
      </c>
      <c r="G2" s="138"/>
    </row>
    <row r="3" spans="1:8">
      <c r="A3" t="s">
        <v>563</v>
      </c>
      <c r="C3" t="s">
        <v>27</v>
      </c>
      <c r="D3" s="96" t="s">
        <v>591</v>
      </c>
      <c r="E3" s="97" t="s">
        <v>28</v>
      </c>
      <c r="F3" s="96" t="s">
        <v>591</v>
      </c>
      <c r="G3" s="97" t="s">
        <v>28</v>
      </c>
      <c r="H3" t="e">
        <f>E9</f>
        <v>#REF!</v>
      </c>
    </row>
    <row r="4" spans="1:8">
      <c r="A4" t="s">
        <v>695</v>
      </c>
      <c r="D4" s="96" t="e">
        <f>D1*#REF!</f>
        <v>#REF!</v>
      </c>
    </row>
    <row r="5" spans="1:8">
      <c r="A5" t="s">
        <v>570</v>
      </c>
      <c r="D5" s="96" t="e">
        <f>SUM(D6:D8)</f>
        <v>#REF!</v>
      </c>
      <c r="F5" s="98" t="e">
        <f>SUM(F6:F8)</f>
        <v>#REF!</v>
      </c>
    </row>
    <row r="6" spans="1:8">
      <c r="A6" t="s">
        <v>31</v>
      </c>
      <c r="B6">
        <f>100000*0.25</f>
        <v>25000</v>
      </c>
      <c r="D6" s="96" t="e">
        <f>CEILING(AVERAGE(#REF!),1)</f>
        <v>#REF!</v>
      </c>
      <c r="F6" s="96" t="e">
        <f>#REF!</f>
        <v>#REF!</v>
      </c>
    </row>
    <row r="7" spans="1:8">
      <c r="A7" t="s">
        <v>569</v>
      </c>
      <c r="B7">
        <f>CEILING(B6/18,1)</f>
        <v>1389</v>
      </c>
      <c r="D7" s="96" t="e">
        <f>CEILING(AVERAGE(#REF!),1)</f>
        <v>#REF!</v>
      </c>
      <c r="F7" s="98" t="e">
        <f>#REF!</f>
        <v>#REF!</v>
      </c>
    </row>
    <row r="8" spans="1:8">
      <c r="A8" t="s">
        <v>565</v>
      </c>
      <c r="B8">
        <f>100000*0.15</f>
        <v>15000</v>
      </c>
      <c r="D8" s="96" t="e">
        <f>CEILING(AVERAGE(#REF!)*D1,1)</f>
        <v>#REF!</v>
      </c>
      <c r="F8" s="96" t="e">
        <f>CEILING(0*F1,1)</f>
        <v>#REF!</v>
      </c>
    </row>
    <row r="9" spans="1:8">
      <c r="A9" t="s">
        <v>566</v>
      </c>
      <c r="D9" s="96" t="e">
        <f>D1-SUM(D6:D8)</f>
        <v>#REF!</v>
      </c>
      <c r="E9" s="97" t="e">
        <f>SUM(D10:D12)</f>
        <v>#REF!</v>
      </c>
      <c r="F9" s="98" t="e">
        <f>F1-SUM(F6:F8)</f>
        <v>#REF!</v>
      </c>
      <c r="G9" s="97" t="e">
        <f>SUM(F10:F12)</f>
        <v>#REF!</v>
      </c>
    </row>
    <row r="10" spans="1:8">
      <c r="A10" t="s">
        <v>566</v>
      </c>
      <c r="B10" t="s">
        <v>555</v>
      </c>
      <c r="D10" s="96" t="e">
        <f>CEILING(SUM(E16:E25),1)</f>
        <v>#REF!</v>
      </c>
      <c r="F10" s="96" t="e">
        <f>CEILING(SUM(G16:G25),1)</f>
        <v>#REF!</v>
      </c>
    </row>
    <row r="11" spans="1:8">
      <c r="A11" t="s">
        <v>566</v>
      </c>
      <c r="B11" t="s">
        <v>574</v>
      </c>
      <c r="D11" s="96" t="e">
        <f>D30</f>
        <v>#REF!</v>
      </c>
      <c r="F11" s="96" t="e">
        <f>F30</f>
        <v>#REF!</v>
      </c>
    </row>
    <row r="12" spans="1:8">
      <c r="A12" t="s">
        <v>566</v>
      </c>
      <c r="B12" t="s">
        <v>573</v>
      </c>
      <c r="D12" s="96">
        <f>E38</f>
        <v>87</v>
      </c>
      <c r="F12" s="96" t="e">
        <f>G38</f>
        <v>#REF!</v>
      </c>
    </row>
    <row r="13" spans="1:8">
      <c r="A13" t="s">
        <v>566</v>
      </c>
      <c r="B13" t="s">
        <v>459</v>
      </c>
    </row>
    <row r="15" spans="1:8">
      <c r="A15" t="s">
        <v>575</v>
      </c>
      <c r="B15" t="s">
        <v>562</v>
      </c>
      <c r="E15" s="97" t="e">
        <f>SUM(E16:E26)</f>
        <v>#REF!</v>
      </c>
      <c r="G15" s="97" t="e">
        <f>SUM(G16:G26)</f>
        <v>#REF!</v>
      </c>
    </row>
    <row r="16" spans="1:8">
      <c r="A16" t="s">
        <v>560</v>
      </c>
      <c r="B16">
        <v>1419</v>
      </c>
      <c r="D16" s="96" t="e">
        <f>FLOOR(B16/100000*$D$1,0.1)</f>
        <v>#REF!</v>
      </c>
      <c r="E16" s="97" t="e">
        <f>IF(D16&gt;C16,FLOOR(D16,1),C16)</f>
        <v>#REF!</v>
      </c>
      <c r="F16" s="96" t="e">
        <f>FLOOR(B16/100000*$F$1,0.1)</f>
        <v>#REF!</v>
      </c>
      <c r="G16" s="97" t="e">
        <f>IF(F16&gt;C16,FLOOR(F16,1),C16)</f>
        <v>#REF!</v>
      </c>
      <c r="H16" t="s">
        <v>585</v>
      </c>
    </row>
    <row r="17" spans="1:10">
      <c r="A17" t="s">
        <v>559</v>
      </c>
      <c r="B17">
        <v>568</v>
      </c>
      <c r="D17" s="96" t="e">
        <f t="shared" ref="D17:D26" si="0">FLOOR(B17/100000*$D$1,0.1)</f>
        <v>#REF!</v>
      </c>
      <c r="E17" s="97" t="e">
        <f t="shared" ref="E17:E28" si="1">IF(D17&gt;C17,FLOOR(D17,1),C17)</f>
        <v>#REF!</v>
      </c>
      <c r="F17" s="96" t="e">
        <f t="shared" ref="F17:F26" si="2">FLOOR(B17/100000*$F$1,0.1)</f>
        <v>#REF!</v>
      </c>
      <c r="G17" s="97" t="e">
        <f t="shared" ref="G17:G26" si="3">IF(F17&gt;C17,FLOOR(F17,1),C17)</f>
        <v>#REF!</v>
      </c>
      <c r="H17" t="s">
        <v>585</v>
      </c>
    </row>
    <row r="18" spans="1:10">
      <c r="A18" t="s">
        <v>557</v>
      </c>
      <c r="B18">
        <v>508</v>
      </c>
      <c r="D18" s="96" t="e">
        <f t="shared" si="0"/>
        <v>#REF!</v>
      </c>
      <c r="E18" s="97" t="e">
        <f t="shared" si="1"/>
        <v>#REF!</v>
      </c>
      <c r="F18" s="96" t="e">
        <f t="shared" si="2"/>
        <v>#REF!</v>
      </c>
      <c r="G18" s="97" t="e">
        <f t="shared" si="3"/>
        <v>#REF!</v>
      </c>
      <c r="H18" t="s">
        <v>585</v>
      </c>
    </row>
    <row r="19" spans="1:10">
      <c r="A19" t="s">
        <v>568</v>
      </c>
      <c r="B19">
        <f>FLOOR(B6*(18-4)/(18*12),1)</f>
        <v>1620</v>
      </c>
      <c r="C19">
        <v>1</v>
      </c>
      <c r="D19" s="96" t="e">
        <f t="shared" si="0"/>
        <v>#REF!</v>
      </c>
      <c r="E19" s="97" t="e">
        <f t="shared" si="1"/>
        <v>#REF!</v>
      </c>
      <c r="F19" s="96" t="e">
        <f t="shared" si="2"/>
        <v>#REF!</v>
      </c>
      <c r="G19" s="97" t="e">
        <f t="shared" si="3"/>
        <v>#REF!</v>
      </c>
      <c r="H19" t="s">
        <v>571</v>
      </c>
    </row>
    <row r="20" spans="1:10">
      <c r="A20" t="s">
        <v>586</v>
      </c>
      <c r="B20">
        <v>300</v>
      </c>
      <c r="C20">
        <v>1</v>
      </c>
      <c r="D20" s="96" t="e">
        <f t="shared" si="0"/>
        <v>#REF!</v>
      </c>
      <c r="E20" s="97" t="e">
        <f t="shared" ref="E20" si="4">IF(D20&gt;C20,FLOOR(D20,1),C20)</f>
        <v>#REF!</v>
      </c>
      <c r="F20" s="96" t="e">
        <f t="shared" si="2"/>
        <v>#REF!</v>
      </c>
      <c r="G20" s="97" t="e">
        <f t="shared" si="3"/>
        <v>#REF!</v>
      </c>
      <c r="H20" t="s">
        <v>694</v>
      </c>
      <c r="J20" t="s">
        <v>587</v>
      </c>
    </row>
    <row r="21" spans="1:10">
      <c r="A21" t="s">
        <v>561</v>
      </c>
      <c r="B21">
        <v>667</v>
      </c>
      <c r="D21" s="96" t="e">
        <f t="shared" si="0"/>
        <v>#REF!</v>
      </c>
      <c r="E21" s="97" t="e">
        <f t="shared" si="1"/>
        <v>#REF!</v>
      </c>
      <c r="F21" s="96" t="e">
        <f t="shared" si="2"/>
        <v>#REF!</v>
      </c>
      <c r="G21" s="97" t="e">
        <f t="shared" si="3"/>
        <v>#REF!</v>
      </c>
      <c r="H21" t="s">
        <v>585</v>
      </c>
    </row>
    <row r="22" spans="1:10">
      <c r="A22" t="s">
        <v>554</v>
      </c>
      <c r="B22">
        <v>95</v>
      </c>
      <c r="C22">
        <v>8</v>
      </c>
      <c r="D22" s="96" t="e">
        <f t="shared" si="0"/>
        <v>#REF!</v>
      </c>
      <c r="E22" s="97" t="e">
        <f t="shared" si="1"/>
        <v>#REF!</v>
      </c>
      <c r="F22" s="96" t="e">
        <f t="shared" si="2"/>
        <v>#REF!</v>
      </c>
      <c r="G22" s="97" t="e">
        <f t="shared" si="3"/>
        <v>#REF!</v>
      </c>
      <c r="H22" t="s">
        <v>576</v>
      </c>
    </row>
    <row r="23" spans="1:10">
      <c r="A23" t="s">
        <v>556</v>
      </c>
      <c r="B23">
        <v>3594</v>
      </c>
      <c r="D23" s="96" t="e">
        <f t="shared" si="0"/>
        <v>#REF!</v>
      </c>
      <c r="E23" s="97" t="e">
        <f t="shared" si="1"/>
        <v>#REF!</v>
      </c>
      <c r="F23" s="96" t="e">
        <f t="shared" si="2"/>
        <v>#REF!</v>
      </c>
      <c r="G23" s="97" t="e">
        <f t="shared" si="3"/>
        <v>#REF!</v>
      </c>
      <c r="H23" t="s">
        <v>585</v>
      </c>
    </row>
    <row r="24" spans="1:10">
      <c r="A24" t="s">
        <v>577</v>
      </c>
      <c r="B24">
        <f>FLOOR(B6*0.4*4/18,1)</f>
        <v>2222</v>
      </c>
      <c r="D24" s="96" t="e">
        <f t="shared" si="0"/>
        <v>#REF!</v>
      </c>
      <c r="E24" s="97" t="e">
        <f t="shared" ref="E24" si="5">IF(D24&gt;C24,FLOOR(D24,1),C24)</f>
        <v>#REF!</v>
      </c>
      <c r="F24" s="96" t="e">
        <f t="shared" si="2"/>
        <v>#REF!</v>
      </c>
      <c r="G24" s="97" t="e">
        <f t="shared" si="3"/>
        <v>#REF!</v>
      </c>
      <c r="H24" t="s">
        <v>578</v>
      </c>
    </row>
    <row r="25" spans="1:10">
      <c r="A25" t="s">
        <v>558</v>
      </c>
      <c r="B25">
        <v>681</v>
      </c>
      <c r="D25" s="96" t="e">
        <f t="shared" si="0"/>
        <v>#REF!</v>
      </c>
      <c r="E25" s="97" t="e">
        <f t="shared" si="1"/>
        <v>#REF!</v>
      </c>
      <c r="F25" s="96" t="e">
        <f t="shared" si="2"/>
        <v>#REF!</v>
      </c>
      <c r="G25" s="97" t="e">
        <f t="shared" si="3"/>
        <v>#REF!</v>
      </c>
      <c r="H25" t="s">
        <v>585</v>
      </c>
    </row>
    <row r="26" spans="1:10">
      <c r="A26" t="s">
        <v>644</v>
      </c>
      <c r="B26" s="81">
        <f>1999474/144898471*1000</f>
        <v>13.799138018509526</v>
      </c>
      <c r="C26">
        <v>0</v>
      </c>
      <c r="D26" s="96" t="e">
        <f t="shared" si="0"/>
        <v>#REF!</v>
      </c>
      <c r="E26" s="97" t="e">
        <f t="shared" ref="E26" si="6">IF(D26&gt;C26,FLOOR(D26,1),C26)</f>
        <v>#REF!</v>
      </c>
      <c r="F26" s="96" t="e">
        <f t="shared" si="2"/>
        <v>#REF!</v>
      </c>
      <c r="G26" s="97" t="e">
        <f t="shared" si="3"/>
        <v>#REF!</v>
      </c>
      <c r="H26" t="s">
        <v>645</v>
      </c>
    </row>
    <row r="27" spans="1:10">
      <c r="B27" s="40"/>
    </row>
    <row r="28" spans="1:10">
      <c r="A28" t="s">
        <v>572</v>
      </c>
      <c r="B28">
        <v>300</v>
      </c>
      <c r="D28" s="96" t="e">
        <f>FLOOR(B28/100000*$D$1,0.1)</f>
        <v>#REF!</v>
      </c>
      <c r="E28" s="97" t="e">
        <f t="shared" si="1"/>
        <v>#REF!</v>
      </c>
      <c r="F28" s="96" t="e">
        <f>FLOOR(D28/100000*$D$1,0.1)</f>
        <v>#REF!</v>
      </c>
      <c r="G28" s="97" t="e">
        <f t="shared" ref="G28" si="7">IF(F28&gt;E28,FLOOR(F28,1),E28)</f>
        <v>#REF!</v>
      </c>
      <c r="H28" t="s">
        <v>585</v>
      </c>
    </row>
    <row r="30" spans="1:10">
      <c r="B30" t="s">
        <v>584</v>
      </c>
      <c r="D30" s="96" t="e">
        <f>SUM(D31:D35)</f>
        <v>#REF!</v>
      </c>
      <c r="F30" s="96" t="e">
        <f>SUM(F31:F35)</f>
        <v>#REF!</v>
      </c>
    </row>
    <row r="31" spans="1:10">
      <c r="A31" t="s">
        <v>627</v>
      </c>
      <c r="D31" s="96" t="e">
        <f>#REF!</f>
        <v>#REF!</v>
      </c>
      <c r="E31" s="97" t="e">
        <f>D31</f>
        <v>#REF!</v>
      </c>
      <c r="F31" s="96" t="e">
        <f>#REF!</f>
        <v>#REF!</v>
      </c>
      <c r="G31" s="97" t="e">
        <f>F31</f>
        <v>#REF!</v>
      </c>
    </row>
    <row r="32" spans="1:10">
      <c r="A32" t="s">
        <v>592</v>
      </c>
      <c r="D32" s="96" t="e">
        <f>CEILING((D31+D33)*0.05,1)</f>
        <v>#REF!</v>
      </c>
      <c r="E32" s="97" t="e">
        <f t="shared" ref="E32:E35" si="8">D32</f>
        <v>#REF!</v>
      </c>
      <c r="F32" s="96" t="e">
        <f>CEILING((F31+F33)*0.05,1)</f>
        <v>#REF!</v>
      </c>
      <c r="G32" s="97" t="e">
        <f t="shared" ref="G32:G35" si="9">F32</f>
        <v>#REF!</v>
      </c>
    </row>
    <row r="33" spans="1:8">
      <c r="A33" t="s">
        <v>582</v>
      </c>
      <c r="D33" s="96" t="e">
        <f>#REF!</f>
        <v>#REF!</v>
      </c>
      <c r="E33" s="97" t="e">
        <f t="shared" si="8"/>
        <v>#REF!</v>
      </c>
      <c r="F33" s="96" t="e">
        <f>CEILING(#REF!*0.75,1)</f>
        <v>#REF!</v>
      </c>
      <c r="G33" s="97" t="e">
        <f t="shared" si="9"/>
        <v>#REF!</v>
      </c>
      <c r="H33" t="s">
        <v>583</v>
      </c>
    </row>
    <row r="34" spans="1:8" ht="18" customHeight="1">
      <c r="A34" t="s">
        <v>567</v>
      </c>
      <c r="D34" s="96" t="e">
        <f>CEILING(SUM(D31:D33)*0.05,1)</f>
        <v>#REF!</v>
      </c>
      <c r="E34" s="97" t="e">
        <f t="shared" si="8"/>
        <v>#REF!</v>
      </c>
      <c r="F34" s="96" t="e">
        <f>CEILING(SUM(F31:F33)*0.001,1)</f>
        <v>#REF!</v>
      </c>
      <c r="G34" s="97" t="e">
        <f t="shared" si="9"/>
        <v>#REF!</v>
      </c>
    </row>
    <row r="35" spans="1:8" ht="18" customHeight="1">
      <c r="A35" t="s">
        <v>579</v>
      </c>
      <c r="D35" s="96" t="e">
        <f>CEILING(SUM(D31:D34)*0.05,1)</f>
        <v>#REF!</v>
      </c>
      <c r="E35" s="97" t="e">
        <f t="shared" si="8"/>
        <v>#REF!</v>
      </c>
      <c r="F35" s="96" t="e">
        <f>CEILING(SUM(F31:F34)*0.001,1)</f>
        <v>#REF!</v>
      </c>
      <c r="G35" s="97" t="e">
        <f t="shared" si="9"/>
        <v>#REF!</v>
      </c>
    </row>
    <row r="37" spans="1:8">
      <c r="B37" t="s">
        <v>584</v>
      </c>
      <c r="D37" s="96">
        <f>SUM(D39:D44)</f>
        <v>85</v>
      </c>
      <c r="F37" s="96" t="e">
        <f>SUM(F39:F44)</f>
        <v>#REF!</v>
      </c>
    </row>
    <row r="38" spans="1:8">
      <c r="A38" t="s">
        <v>573</v>
      </c>
      <c r="B38">
        <f>SUM(B39:B44)</f>
        <v>1.375</v>
      </c>
      <c r="C38">
        <f>SUM(C39:C43)</f>
        <v>43</v>
      </c>
      <c r="D38" s="96">
        <f>C38*2</f>
        <v>86</v>
      </c>
      <c r="E38" s="97">
        <f>SUM(E39:E44)</f>
        <v>87</v>
      </c>
      <c r="F38" s="96" t="e">
        <f>CEILING(F9-F10-F11,1)</f>
        <v>#REF!</v>
      </c>
      <c r="G38" s="97" t="e">
        <f>SUM(G39:G44)</f>
        <v>#REF!</v>
      </c>
    </row>
    <row r="39" spans="1:8" ht="17">
      <c r="A39" t="s">
        <v>589</v>
      </c>
      <c r="B39" s="70">
        <v>0.05</v>
      </c>
      <c r="C39" s="70">
        <v>3</v>
      </c>
      <c r="D39" s="96">
        <f>$C39+FLOOR($B39*($D38-$C38)/$B$38,0.5)</f>
        <v>4.5</v>
      </c>
      <c r="E39" s="97">
        <f>CEILING(D39,1)</f>
        <v>5</v>
      </c>
      <c r="F39" s="96" t="e">
        <f>$C39+FLOOR($B39*($F$38-$C$38)/$B$38,0.5)</f>
        <v>#REF!</v>
      </c>
      <c r="G39" s="97" t="e">
        <f>CEILING(F39,1)</f>
        <v>#REF!</v>
      </c>
    </row>
    <row r="40" spans="1:8">
      <c r="A40" t="s">
        <v>581</v>
      </c>
      <c r="B40">
        <v>0.85</v>
      </c>
      <c r="C40">
        <v>30</v>
      </c>
      <c r="D40" s="96">
        <f>C40+FLOOR(B40*($D$38-$C$38)/$B$38,0.5)</f>
        <v>56.5</v>
      </c>
      <c r="E40" s="97">
        <f t="shared" ref="E40:E44" si="10">CEILING(D40,1)</f>
        <v>57</v>
      </c>
      <c r="F40" s="96" t="e">
        <f t="shared" ref="F40:F44" si="11">$C40+FLOOR($B40*($F$38-$C$38)/$B$38,0.5)</f>
        <v>#REF!</v>
      </c>
      <c r="G40" s="97" t="e">
        <f t="shared" ref="G40:G44" si="12">CEILING(F40,1)</f>
        <v>#REF!</v>
      </c>
    </row>
    <row r="41" spans="1:8">
      <c r="A41" t="s">
        <v>590</v>
      </c>
      <c r="B41">
        <v>0.1</v>
      </c>
      <c r="C41">
        <v>3</v>
      </c>
      <c r="D41" s="96">
        <f>C41+FLOOR(B41*($D$38-$C$38)/$B$38,0.5)</f>
        <v>6</v>
      </c>
      <c r="E41" s="97">
        <f t="shared" si="10"/>
        <v>6</v>
      </c>
      <c r="F41" s="96" t="e">
        <f t="shared" si="11"/>
        <v>#REF!</v>
      </c>
      <c r="G41" s="97" t="e">
        <f t="shared" si="12"/>
        <v>#REF!</v>
      </c>
    </row>
    <row r="42" spans="1:8">
      <c r="A42" t="s">
        <v>580</v>
      </c>
      <c r="B42">
        <v>0.2</v>
      </c>
      <c r="C42">
        <v>6</v>
      </c>
      <c r="D42" s="96">
        <f>C42+FLOOR(B42*($D$38-$C$38)/$B$38,0.5)</f>
        <v>12</v>
      </c>
      <c r="E42" s="97">
        <f t="shared" si="10"/>
        <v>12</v>
      </c>
      <c r="F42" s="96" t="e">
        <f t="shared" si="11"/>
        <v>#REF!</v>
      </c>
      <c r="G42" s="97" t="e">
        <f t="shared" si="12"/>
        <v>#REF!</v>
      </c>
    </row>
    <row r="43" spans="1:8">
      <c r="A43" t="s">
        <v>588</v>
      </c>
      <c r="B43">
        <v>0.05</v>
      </c>
      <c r="C43">
        <v>1</v>
      </c>
      <c r="D43" s="96">
        <f>C43+FLOOR(B43*($D$38-$C$38)/$B$38,0.5)</f>
        <v>2.5</v>
      </c>
      <c r="E43" s="97">
        <f t="shared" si="10"/>
        <v>3</v>
      </c>
      <c r="F43" s="96" t="e">
        <f t="shared" si="11"/>
        <v>#REF!</v>
      </c>
      <c r="G43" s="97" t="e">
        <f t="shared" si="12"/>
        <v>#REF!</v>
      </c>
    </row>
    <row r="44" spans="1:8">
      <c r="A44" t="s">
        <v>579</v>
      </c>
      <c r="B44">
        <f>SUM(B39:B43)*0.1</f>
        <v>0.125</v>
      </c>
      <c r="D44" s="96">
        <f>C44+FLOOR(B44*($D$38-$C$38)/$B$38,0.5)</f>
        <v>3.5</v>
      </c>
      <c r="E44" s="97">
        <f t="shared" si="10"/>
        <v>4</v>
      </c>
      <c r="F44" s="96" t="e">
        <f t="shared" si="11"/>
        <v>#REF!</v>
      </c>
      <c r="G44" s="97" t="e">
        <f t="shared" si="12"/>
        <v>#REF!</v>
      </c>
    </row>
  </sheetData>
  <sortState ref="A29:D41">
    <sortCondition ref="A32:A41"/>
    <sortCondition ref="B32:B41"/>
  </sortState>
  <mergeCells count="2">
    <mergeCell ref="D2:E2"/>
    <mergeCell ref="F2:G2"/>
  </mergeCells>
  <pageMargins left="0.7" right="0.7" top="0.75" bottom="0.75" header="0.3" footer="0.3"/>
  <pageSetup scale="71" orientation="portrait" horizontalDpi="0" verticalDpi="0" copies="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EB479-7E9A-E744-AB82-0BC477E4AC67}">
  <dimension ref="A1"/>
  <sheetViews>
    <sheetView workbookViewId="0"/>
  </sheetViews>
  <sheetFormatPr baseColWidth="10" defaultRowHeight="16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A1AE5-3090-F34A-BB87-7CAFAB9DCFD1}">
  <dimension ref="A1:AF73"/>
  <sheetViews>
    <sheetView topLeftCell="A7" workbookViewId="0">
      <selection activeCell="D40" sqref="D40"/>
    </sheetView>
  </sheetViews>
  <sheetFormatPr baseColWidth="10" defaultRowHeight="16"/>
  <cols>
    <col min="1" max="1" width="22.83203125" bestFit="1" customWidth="1"/>
    <col min="3" max="3" width="13.6640625" bestFit="1" customWidth="1"/>
    <col min="4" max="4" width="12.6640625" bestFit="1" customWidth="1"/>
    <col min="5" max="5" width="12.1640625" bestFit="1" customWidth="1"/>
    <col min="6" max="6" width="11.6640625" bestFit="1" customWidth="1"/>
    <col min="7" max="7" width="12.1640625" bestFit="1" customWidth="1"/>
    <col min="12" max="16" width="7" customWidth="1"/>
    <col min="17" max="17" width="7.5" customWidth="1"/>
    <col min="18" max="19" width="7" customWidth="1"/>
    <col min="20" max="20" width="9.6640625" customWidth="1"/>
    <col min="24" max="24" width="12.1640625" bestFit="1" customWidth="1"/>
  </cols>
  <sheetData>
    <row r="1" spans="1:29">
      <c r="A1" t="s">
        <v>59</v>
      </c>
      <c r="D1" s="2">
        <f>Habitat!I14*0.000001</f>
        <v>5.4932318344344315</v>
      </c>
      <c r="E1" t="s">
        <v>47</v>
      </c>
    </row>
    <row r="2" spans="1:29">
      <c r="A2" t="s">
        <v>624</v>
      </c>
      <c r="D2">
        <f>Vehicle!B1</f>
        <v>2000</v>
      </c>
      <c r="E2" s="5"/>
      <c r="F2" s="5"/>
      <c r="G2" s="5"/>
      <c r="H2" s="5"/>
      <c r="I2" s="5"/>
      <c r="J2" s="5"/>
      <c r="U2" s="5"/>
      <c r="V2" s="5"/>
      <c r="W2" s="5"/>
      <c r="X2" s="5"/>
      <c r="Y2" s="5"/>
      <c r="Z2" s="5"/>
      <c r="AA2" s="5"/>
      <c r="AB2" s="5"/>
      <c r="AC2" s="5"/>
    </row>
    <row r="4" spans="1:29">
      <c r="A4" t="s">
        <v>228</v>
      </c>
    </row>
    <row r="5" spans="1:29">
      <c r="A5" t="s">
        <v>230</v>
      </c>
      <c r="D5">
        <f>180*Conversion!G17</f>
        <v>69.498388800000001</v>
      </c>
      <c r="E5" t="s">
        <v>231</v>
      </c>
    </row>
    <row r="6" spans="1:29">
      <c r="A6" t="s">
        <v>229</v>
      </c>
      <c r="D6">
        <f>D2/D5</f>
        <v>28.777645561763009</v>
      </c>
      <c r="E6" t="s">
        <v>47</v>
      </c>
      <c r="F6" t="s">
        <v>58</v>
      </c>
    </row>
    <row r="7" spans="1:29">
      <c r="A7" t="s">
        <v>57</v>
      </c>
      <c r="D7">
        <f>C45*0.000001</f>
        <v>2.5168139048173779</v>
      </c>
      <c r="E7" t="s">
        <v>47</v>
      </c>
    </row>
    <row r="8" spans="1:29">
      <c r="D8">
        <f>D7*Conversion!D17</f>
        <v>251.68139048173779</v>
      </c>
      <c r="E8" t="s">
        <v>113</v>
      </c>
    </row>
    <row r="10" spans="1:29">
      <c r="A10" t="s">
        <v>189</v>
      </c>
      <c r="D10" t="s">
        <v>516</v>
      </c>
      <c r="E10" t="s">
        <v>387</v>
      </c>
      <c r="F10" t="s">
        <v>386</v>
      </c>
    </row>
    <row r="11" spans="1:29">
      <c r="C11" t="s">
        <v>198</v>
      </c>
      <c r="D11">
        <f>IF(SUM(D12:D15)&gt;G27,0,G27-SUM(D12:D15))</f>
        <v>5.2447664141414165</v>
      </c>
      <c r="E11" s="48">
        <f>Protein!B10</f>
        <v>1279479.0596937493</v>
      </c>
    </row>
    <row r="12" spans="1:29">
      <c r="C12" t="s">
        <v>197</v>
      </c>
      <c r="D12">
        <f>H12/2.2</f>
        <v>18.18181818181818</v>
      </c>
      <c r="E12" s="48">
        <f>Cattle!D8</f>
        <v>4595701.32</v>
      </c>
      <c r="F12">
        <f>Cattle!C18</f>
        <v>1029</v>
      </c>
      <c r="H12" s="5">
        <v>40</v>
      </c>
      <c r="I12" s="54">
        <v>67.8</v>
      </c>
      <c r="J12" s="54" t="s">
        <v>249</v>
      </c>
      <c r="K12" s="54" t="s">
        <v>251</v>
      </c>
      <c r="L12" s="54"/>
    </row>
    <row r="13" spans="1:29">
      <c r="C13" t="s">
        <v>214</v>
      </c>
      <c r="D13">
        <f>H13/2.2</f>
        <v>13.636363636363635</v>
      </c>
      <c r="E13" s="48">
        <f>Protein!B27</f>
        <v>194214.87603305781</v>
      </c>
      <c r="F13">
        <f>SUM(Protein!B19:D19)</f>
        <v>10847.107438016526</v>
      </c>
      <c r="H13" s="5">
        <v>30</v>
      </c>
      <c r="I13" s="54">
        <v>61.5</v>
      </c>
      <c r="J13" s="54" t="s">
        <v>249</v>
      </c>
      <c r="K13" s="54" t="s">
        <v>250</v>
      </c>
      <c r="L13" s="54"/>
    </row>
    <row r="14" spans="1:29">
      <c r="C14" t="s">
        <v>270</v>
      </c>
      <c r="D14">
        <f>H14/2.2</f>
        <v>4.545454545454545</v>
      </c>
      <c r="E14" s="48">
        <f>Protein!B44</f>
        <v>39354.584809130261</v>
      </c>
      <c r="F14">
        <f>Protein!B35</f>
        <v>115.44011544011543</v>
      </c>
      <c r="H14" s="5">
        <v>10</v>
      </c>
      <c r="I14" s="54">
        <v>49.8</v>
      </c>
      <c r="J14" s="54" t="s">
        <v>249</v>
      </c>
      <c r="K14" s="54" t="s">
        <v>265</v>
      </c>
      <c r="L14" s="54"/>
    </row>
    <row r="15" spans="1:29">
      <c r="C15" t="s">
        <v>513</v>
      </c>
      <c r="D15">
        <v>18</v>
      </c>
      <c r="E15" s="48">
        <f>Protein!B60</f>
        <v>201245.03595577972</v>
      </c>
    </row>
    <row r="16" spans="1:29">
      <c r="C16" t="s">
        <v>12</v>
      </c>
      <c r="E16" s="2">
        <f>SUM(E12:E14)</f>
        <v>4829270.7808421878</v>
      </c>
    </row>
    <row r="17" spans="1:32">
      <c r="C17" t="s">
        <v>453</v>
      </c>
      <c r="E17" s="2">
        <f>SUM(Crops!G4:G119)</f>
        <v>4829270.7808421878</v>
      </c>
    </row>
    <row r="19" spans="1:32">
      <c r="B19" t="s">
        <v>199</v>
      </c>
      <c r="D19">
        <v>80</v>
      </c>
      <c r="E19" s="5" t="s">
        <v>114</v>
      </c>
      <c r="F19" s="5"/>
      <c r="G19" s="5"/>
      <c r="H19" s="5"/>
      <c r="I19" s="5"/>
      <c r="J19" s="5"/>
      <c r="U19" s="5"/>
      <c r="V19" s="5"/>
      <c r="W19" s="5"/>
      <c r="X19" s="5"/>
      <c r="Y19" s="5"/>
      <c r="Z19" s="5"/>
      <c r="AA19" s="5"/>
      <c r="AB19" s="5"/>
      <c r="AC19" s="5"/>
    </row>
    <row r="20" spans="1:32">
      <c r="B20" t="s">
        <v>200</v>
      </c>
      <c r="D20">
        <v>1.25E-3</v>
      </c>
      <c r="E20" s="5" t="s">
        <v>202</v>
      </c>
      <c r="F20" s="5" t="s">
        <v>201</v>
      </c>
      <c r="G20" s="5"/>
      <c r="H20" s="5"/>
      <c r="I20" s="5"/>
      <c r="J20" s="5"/>
      <c r="U20" s="5"/>
      <c r="V20" s="5"/>
      <c r="W20" s="5"/>
      <c r="X20" s="5"/>
      <c r="Y20" s="5"/>
      <c r="Z20" s="5"/>
      <c r="AA20" s="5"/>
      <c r="AB20" s="5"/>
      <c r="AC20" s="5"/>
    </row>
    <row r="21" spans="1:32">
      <c r="B21" t="s">
        <v>212</v>
      </c>
      <c r="D21" s="4">
        <f>SUM(AB:AB)+(D19*D20*3020)</f>
        <v>302</v>
      </c>
      <c r="E21" s="5" t="s">
        <v>213</v>
      </c>
      <c r="F21" s="5"/>
      <c r="G21" s="5"/>
      <c r="H21" s="5"/>
      <c r="I21" s="5"/>
      <c r="J21" s="5"/>
      <c r="U21" s="5"/>
      <c r="V21" s="5"/>
      <c r="W21" s="5"/>
      <c r="X21" s="5"/>
      <c r="Y21" s="5"/>
      <c r="Z21" s="5"/>
      <c r="AA21" s="5"/>
      <c r="AB21" s="5"/>
      <c r="AC21" s="5"/>
    </row>
    <row r="22" spans="1:32">
      <c r="D22" s="4"/>
      <c r="E22" s="5"/>
      <c r="F22" s="5"/>
      <c r="G22" s="5"/>
      <c r="H22" s="5"/>
      <c r="I22" s="5"/>
      <c r="J22" s="5"/>
      <c r="U22" s="5"/>
      <c r="V22" s="5"/>
      <c r="W22" s="5"/>
      <c r="X22" s="5"/>
      <c r="Y22" s="5"/>
      <c r="Z22" s="5"/>
      <c r="AA22" s="5"/>
      <c r="AB22" s="5"/>
      <c r="AC22" s="5"/>
    </row>
    <row r="23" spans="1:32">
      <c r="A23" t="s">
        <v>458</v>
      </c>
      <c r="B23" t="s">
        <v>502</v>
      </c>
      <c r="D23" t="s">
        <v>455</v>
      </c>
      <c r="E23" s="5" t="s">
        <v>456</v>
      </c>
      <c r="F23" s="5" t="s">
        <v>507</v>
      </c>
      <c r="G23" s="5" t="s">
        <v>441</v>
      </c>
      <c r="H23" s="5"/>
      <c r="I23" s="5"/>
      <c r="J23" s="5"/>
      <c r="U23" s="5"/>
      <c r="V23" s="5"/>
      <c r="W23" s="5"/>
      <c r="X23" s="5"/>
      <c r="Y23" s="5"/>
      <c r="Z23" s="5"/>
      <c r="AA23" s="5"/>
      <c r="AB23" s="5"/>
      <c r="AC23" s="5"/>
    </row>
    <row r="24" spans="1:32">
      <c r="B24" t="s">
        <v>459</v>
      </c>
      <c r="D24">
        <v>1</v>
      </c>
      <c r="E24" s="5">
        <f>Diet!G5</f>
        <v>54.307692307692307</v>
      </c>
      <c r="F24">
        <v>387</v>
      </c>
      <c r="G24" s="5">
        <f t="shared" ref="G24:G34" si="0">E24/F24*0.1*365.26</f>
        <v>5.1256919101570269</v>
      </c>
      <c r="H24" s="5"/>
      <c r="I24" s="5"/>
      <c r="J24" s="5"/>
      <c r="U24" s="5"/>
      <c r="V24" s="5"/>
      <c r="W24" s="5"/>
      <c r="X24" s="5"/>
      <c r="Y24" s="5"/>
      <c r="Z24" s="5"/>
      <c r="AA24" s="5"/>
      <c r="AB24" s="5"/>
      <c r="AC24" s="5"/>
    </row>
    <row r="25" spans="1:32">
      <c r="B25" t="s">
        <v>460</v>
      </c>
      <c r="D25">
        <v>2</v>
      </c>
      <c r="E25" s="5">
        <f>Diet!H5</f>
        <v>377.57142857142856</v>
      </c>
      <c r="F25">
        <v>387</v>
      </c>
      <c r="G25" s="5">
        <f t="shared" si="0"/>
        <v>35.636108527131782</v>
      </c>
      <c r="H25" s="5"/>
      <c r="I25" s="5" t="s">
        <v>508</v>
      </c>
      <c r="J25" s="5"/>
      <c r="U25" s="5"/>
      <c r="V25" s="5"/>
      <c r="W25" s="5"/>
      <c r="X25" s="5"/>
      <c r="Y25" s="5"/>
      <c r="Z25" s="5"/>
      <c r="AA25" s="5"/>
      <c r="AB25" s="5"/>
      <c r="AC25" s="5"/>
    </row>
    <row r="26" spans="1:32">
      <c r="B26" t="s">
        <v>503</v>
      </c>
      <c r="D26">
        <v>3</v>
      </c>
      <c r="E26" s="5">
        <f>Diet!I5</f>
        <v>666.75</v>
      </c>
      <c r="F26">
        <v>884</v>
      </c>
      <c r="G26" s="5">
        <f t="shared" si="0"/>
        <v>27.549446266968328</v>
      </c>
      <c r="H26" s="5"/>
      <c r="I26" s="5"/>
      <c r="J26" s="5"/>
      <c r="U26" s="5"/>
      <c r="V26" s="5"/>
      <c r="W26" s="5"/>
      <c r="X26" s="5"/>
      <c r="Y26" s="5"/>
      <c r="Z26" s="5"/>
      <c r="AA26" s="5"/>
      <c r="AB26" s="5"/>
      <c r="AC26" s="5"/>
    </row>
    <row r="27" spans="1:32">
      <c r="B27" t="s">
        <v>495</v>
      </c>
      <c r="D27">
        <v>4</v>
      </c>
      <c r="E27" s="5">
        <f>Diet!J5</f>
        <v>470</v>
      </c>
      <c r="F27">
        <v>288</v>
      </c>
      <c r="G27" s="5">
        <f t="shared" si="0"/>
        <v>59.608402777777776</v>
      </c>
      <c r="H27" s="5"/>
      <c r="I27" s="5"/>
      <c r="J27" s="5"/>
      <c r="U27" s="5"/>
      <c r="V27" s="5"/>
      <c r="W27" s="5"/>
      <c r="X27" s="5"/>
      <c r="Y27" s="5"/>
      <c r="Z27" s="5"/>
      <c r="AA27" s="5"/>
      <c r="AB27" s="5"/>
      <c r="AC27" s="5"/>
    </row>
    <row r="28" spans="1:32">
      <c r="B28" t="s">
        <v>496</v>
      </c>
      <c r="D28">
        <v>5</v>
      </c>
      <c r="E28">
        <f>Diet!K5</f>
        <v>358.66666666666669</v>
      </c>
      <c r="F28">
        <v>60</v>
      </c>
      <c r="G28" s="5">
        <f t="shared" si="0"/>
        <v>218.34431111111113</v>
      </c>
      <c r="H28" s="5"/>
      <c r="I28" s="5"/>
      <c r="J28" s="5"/>
      <c r="K28" s="5"/>
      <c r="L28" s="5"/>
      <c r="M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>
      <c r="B29" t="s">
        <v>497</v>
      </c>
      <c r="D29">
        <v>6</v>
      </c>
      <c r="E29">
        <f>Diet!L5</f>
        <v>219.8</v>
      </c>
      <c r="F29">
        <v>57</v>
      </c>
      <c r="G29" s="5">
        <f t="shared" si="0"/>
        <v>140.84938245614035</v>
      </c>
      <c r="H29" s="5"/>
      <c r="I29" s="5"/>
      <c r="J29" s="5"/>
      <c r="K29" s="5"/>
      <c r="L29" s="5"/>
      <c r="M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>
      <c r="B30" t="s">
        <v>504</v>
      </c>
      <c r="D30">
        <v>7</v>
      </c>
      <c r="E30">
        <f>Diet!M5</f>
        <v>107.84615384615384</v>
      </c>
      <c r="F30">
        <v>86</v>
      </c>
      <c r="G30" s="5">
        <f t="shared" si="0"/>
        <v>45.804518783542036</v>
      </c>
      <c r="H30" s="5"/>
      <c r="I30" s="5" t="s">
        <v>510</v>
      </c>
      <c r="J30" s="5"/>
      <c r="K30" s="5"/>
      <c r="L30" s="5"/>
      <c r="M30" s="5"/>
      <c r="X30" s="5"/>
      <c r="Y30" s="5"/>
      <c r="Z30" s="5"/>
      <c r="AA30" s="5"/>
      <c r="AB30" s="5"/>
      <c r="AC30" s="5"/>
      <c r="AD30" s="5"/>
      <c r="AE30" s="5"/>
      <c r="AF30" s="5"/>
    </row>
    <row r="31" spans="1:32">
      <c r="B31" t="s">
        <v>499</v>
      </c>
      <c r="D31">
        <v>8</v>
      </c>
      <c r="E31">
        <f>Diet!N5</f>
        <v>43</v>
      </c>
      <c r="F31">
        <v>81</v>
      </c>
      <c r="G31" s="5">
        <f t="shared" si="0"/>
        <v>19.390345679012345</v>
      </c>
      <c r="H31" s="5"/>
      <c r="I31" t="s">
        <v>511</v>
      </c>
      <c r="J31" s="5" t="s">
        <v>506</v>
      </c>
      <c r="K31" s="5"/>
      <c r="L31" s="5"/>
      <c r="M31" s="5"/>
      <c r="X31" s="5"/>
      <c r="Y31" s="5"/>
      <c r="Z31" s="5"/>
      <c r="AA31" s="5"/>
      <c r="AB31" s="5"/>
      <c r="AC31" s="5"/>
      <c r="AD31" s="5"/>
      <c r="AE31" s="5"/>
      <c r="AF31" s="5"/>
    </row>
    <row r="32" spans="1:32">
      <c r="B32" t="s">
        <v>500</v>
      </c>
      <c r="D32">
        <v>9</v>
      </c>
      <c r="E32">
        <f>Diet!O5</f>
        <v>1097.9230769230769</v>
      </c>
      <c r="F32">
        <v>129</v>
      </c>
      <c r="G32" s="5">
        <f t="shared" si="0"/>
        <v>310.87394036970784</v>
      </c>
      <c r="I32" t="s">
        <v>509</v>
      </c>
      <c r="K32" s="5"/>
      <c r="L32" s="5"/>
      <c r="M32" s="5"/>
      <c r="X32" s="5"/>
      <c r="Y32" s="5"/>
      <c r="Z32" s="5"/>
      <c r="AA32" s="5"/>
      <c r="AB32" s="5"/>
      <c r="AC32" s="5"/>
      <c r="AD32" s="5"/>
      <c r="AE32" s="5"/>
      <c r="AF32" s="5"/>
    </row>
    <row r="33" spans="1:32">
      <c r="B33" t="s">
        <v>505</v>
      </c>
      <c r="D33">
        <v>10</v>
      </c>
      <c r="E33">
        <f>Diet!P5</f>
        <v>157</v>
      </c>
      <c r="F33">
        <v>85</v>
      </c>
      <c r="G33" s="5">
        <f t="shared" si="0"/>
        <v>67.465670588235298</v>
      </c>
      <c r="H33" s="5"/>
      <c r="I33" s="5" t="s">
        <v>512</v>
      </c>
      <c r="J33" s="5"/>
      <c r="K33" s="5"/>
      <c r="L33" s="5"/>
      <c r="M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>
      <c r="B34" t="s">
        <v>517</v>
      </c>
      <c r="D34">
        <v>11</v>
      </c>
      <c r="E34" s="5">
        <f>E27/2</f>
        <v>235</v>
      </c>
      <c r="F34" s="5">
        <f>F26</f>
        <v>884</v>
      </c>
      <c r="G34" s="5">
        <f t="shared" si="0"/>
        <v>9.7099660633484177</v>
      </c>
      <c r="H34" s="5"/>
      <c r="I34" s="5"/>
      <c r="J34" s="5"/>
      <c r="U34" s="5"/>
      <c r="V34" s="5"/>
      <c r="W34" s="5"/>
      <c r="X34" s="5"/>
      <c r="Y34" s="5"/>
      <c r="Z34" s="5"/>
      <c r="AA34" s="5"/>
      <c r="AB34" s="5"/>
      <c r="AC34" s="5"/>
    </row>
    <row r="35" spans="1:32">
      <c r="E35" s="5"/>
      <c r="F35" s="5"/>
      <c r="G35" s="5"/>
      <c r="H35" s="5"/>
      <c r="I35" s="5"/>
      <c r="J35" s="5"/>
      <c r="U35" s="5"/>
      <c r="V35" s="5"/>
      <c r="W35" s="5"/>
      <c r="X35" s="5"/>
      <c r="Y35" s="5"/>
      <c r="Z35" s="5"/>
      <c r="AA35" s="5"/>
      <c r="AB35" s="5"/>
      <c r="AC35" s="5"/>
    </row>
    <row r="36" spans="1:32">
      <c r="A36" t="s">
        <v>259</v>
      </c>
      <c r="D36" t="s">
        <v>261</v>
      </c>
      <c r="E36" s="5" t="s">
        <v>12</v>
      </c>
      <c r="F36" s="5"/>
      <c r="G36" s="5"/>
      <c r="H36" s="5"/>
      <c r="I36" s="5"/>
      <c r="J36" s="5"/>
      <c r="U36" s="5"/>
      <c r="V36" s="5"/>
      <c r="W36" s="5"/>
      <c r="X36" s="5"/>
      <c r="Y36" s="5"/>
      <c r="Z36" s="5"/>
      <c r="AA36" s="5"/>
      <c r="AB36" s="5"/>
      <c r="AC36" s="5"/>
    </row>
    <row r="37" spans="1:32">
      <c r="B37" t="s">
        <v>260</v>
      </c>
      <c r="D37">
        <f>G27</f>
        <v>59.608402777777776</v>
      </c>
      <c r="E37" s="5">
        <f>D37*$D$2</f>
        <v>119216.80555555555</v>
      </c>
      <c r="F37" s="5"/>
      <c r="G37" s="5"/>
      <c r="H37" s="5"/>
      <c r="I37" s="5"/>
      <c r="J37" s="5"/>
      <c r="U37" s="5"/>
      <c r="V37" s="5"/>
      <c r="W37" s="5"/>
      <c r="X37" s="5"/>
      <c r="Y37" s="5"/>
      <c r="Z37" s="5"/>
      <c r="AA37" s="5"/>
      <c r="AB37" s="5"/>
      <c r="AC37" s="5"/>
    </row>
    <row r="38" spans="1:32">
      <c r="B38" t="s">
        <v>262</v>
      </c>
      <c r="D38">
        <f>SUM(Crops!D6:D119)</f>
        <v>1259.7274162917024</v>
      </c>
      <c r="E38" s="47">
        <f>SUM(Crops!F6:F119)</f>
        <v>2065618.0334180307</v>
      </c>
      <c r="F38" s="5"/>
      <c r="G38" s="5"/>
      <c r="H38" s="5"/>
      <c r="I38" s="5"/>
      <c r="J38" s="5"/>
      <c r="U38" s="5"/>
      <c r="V38" s="5"/>
      <c r="W38" s="5"/>
      <c r="X38" s="5"/>
      <c r="Y38" s="5"/>
      <c r="Z38" s="5"/>
      <c r="AA38" s="5"/>
      <c r="AB38" s="5"/>
      <c r="AC38" s="5"/>
    </row>
    <row r="39" spans="1:32">
      <c r="A39" t="s">
        <v>263</v>
      </c>
      <c r="C39">
        <v>0.15</v>
      </c>
      <c r="E39" s="5">
        <f>(E37+E42)*C39</f>
        <v>17882.520833333332</v>
      </c>
      <c r="F39" s="5"/>
      <c r="G39" s="5"/>
      <c r="H39" s="5"/>
      <c r="I39" s="5"/>
      <c r="J39" s="5"/>
      <c r="U39" s="5"/>
      <c r="V39" s="5"/>
      <c r="W39" s="5"/>
      <c r="X39" s="5"/>
      <c r="Y39" s="5"/>
      <c r="Z39" s="5"/>
      <c r="AA39" s="5"/>
      <c r="AB39" s="5"/>
      <c r="AC39" s="5"/>
    </row>
    <row r="40" spans="1:32">
      <c r="A40" t="s">
        <v>648</v>
      </c>
      <c r="E40" s="5">
        <f>(E37+E38)*7</f>
        <v>15293843.872815106</v>
      </c>
      <c r="F40" s="5"/>
      <c r="G40" s="5" t="s">
        <v>649</v>
      </c>
      <c r="H40" s="5"/>
      <c r="I40" s="5"/>
      <c r="J40" s="5"/>
      <c r="U40" s="5"/>
      <c r="V40" s="5"/>
      <c r="W40" s="5"/>
      <c r="X40" s="5"/>
      <c r="Y40" s="5"/>
      <c r="Z40" s="5"/>
      <c r="AA40" s="5"/>
      <c r="AB40" s="5"/>
      <c r="AC40" s="5"/>
    </row>
    <row r="41" spans="1:32">
      <c r="E41" s="5"/>
      <c r="F41" s="5"/>
      <c r="G41" s="5"/>
      <c r="H41" s="5"/>
      <c r="I41" s="5"/>
      <c r="J41" s="5"/>
      <c r="U41" s="5"/>
      <c r="V41" s="5"/>
      <c r="W41" s="5"/>
      <c r="X41" s="5"/>
      <c r="Y41" s="5"/>
      <c r="Z41" s="5"/>
      <c r="AA41" s="5"/>
      <c r="AB41" s="5"/>
      <c r="AC41" s="5"/>
    </row>
    <row r="43" spans="1:32">
      <c r="A43" t="s">
        <v>238</v>
      </c>
      <c r="C43" s="2">
        <f>SUM(Crops!Z4:Z119)</f>
        <v>1561455.7200185854</v>
      </c>
    </row>
    <row r="44" spans="1:32">
      <c r="A44" t="s">
        <v>239</v>
      </c>
      <c r="C44" s="2">
        <f>SUM(Crops!AA4:AA119)</f>
        <v>955358.18479879259</v>
      </c>
      <c r="F44" t="s">
        <v>390</v>
      </c>
      <c r="G44" t="s">
        <v>351</v>
      </c>
    </row>
    <row r="45" spans="1:32">
      <c r="A45" t="s">
        <v>92</v>
      </c>
      <c r="C45" s="39">
        <f>C43+C44</f>
        <v>2516813.9048173781</v>
      </c>
      <c r="D45" s="61">
        <f>C45*Conversion!F19</f>
        <v>621.92988401942227</v>
      </c>
      <c r="F45" t="s">
        <v>391</v>
      </c>
      <c r="G45" t="s">
        <v>392</v>
      </c>
    </row>
    <row r="46" spans="1:32">
      <c r="C46" s="9"/>
      <c r="D46" s="34"/>
      <c r="F46" t="s">
        <v>431</v>
      </c>
      <c r="G46" t="s">
        <v>98</v>
      </c>
    </row>
    <row r="47" spans="1:32">
      <c r="A47" t="s">
        <v>248</v>
      </c>
      <c r="C47" s="39">
        <f>SUM(Crops!AB4:AB119)</f>
        <v>2278791.861180915</v>
      </c>
      <c r="D47" s="34"/>
      <c r="F47" t="s">
        <v>435</v>
      </c>
      <c r="G47" t="s">
        <v>436</v>
      </c>
    </row>
    <row r="48" spans="1:32">
      <c r="F48" t="s">
        <v>390</v>
      </c>
      <c r="G48" t="s">
        <v>391</v>
      </c>
      <c r="J48" t="s">
        <v>433</v>
      </c>
      <c r="P48" s="34"/>
    </row>
    <row r="49" spans="1:16">
      <c r="A49" t="s">
        <v>449</v>
      </c>
      <c r="C49">
        <f>SUM(Crops!L4:L119)</f>
        <v>93095</v>
      </c>
      <c r="P49" s="34"/>
    </row>
    <row r="50" spans="1:16">
      <c r="A50" t="s">
        <v>700</v>
      </c>
      <c r="C50" s="2">
        <f>SUM(Crops!AG:AG)</f>
        <v>782039.45547759952</v>
      </c>
      <c r="P50" s="34"/>
    </row>
    <row r="51" spans="1:16">
      <c r="A51" t="s">
        <v>615</v>
      </c>
      <c r="C51" t="s">
        <v>594</v>
      </c>
      <c r="G51" s="3"/>
    </row>
    <row r="53" spans="1:16">
      <c r="A53" t="s">
        <v>616</v>
      </c>
      <c r="B53" t="s">
        <v>617</v>
      </c>
      <c r="C53" t="s">
        <v>618</v>
      </c>
      <c r="D53" t="s">
        <v>445</v>
      </c>
      <c r="E53" t="s">
        <v>619</v>
      </c>
    </row>
    <row r="54" spans="1:16">
      <c r="A54" t="s">
        <v>595</v>
      </c>
      <c r="B54">
        <v>10.5</v>
      </c>
    </row>
    <row r="55" spans="1:16">
      <c r="A55" t="s">
        <v>596</v>
      </c>
      <c r="B55">
        <v>24.4</v>
      </c>
    </row>
    <row r="56" spans="1:16">
      <c r="A56" t="s">
        <v>598</v>
      </c>
      <c r="B56">
        <v>5.2</v>
      </c>
    </row>
    <row r="57" spans="1:16">
      <c r="A57" t="s">
        <v>597</v>
      </c>
      <c r="B57">
        <v>8</v>
      </c>
    </row>
    <row r="58" spans="1:16">
      <c r="A58" t="s">
        <v>599</v>
      </c>
      <c r="B58">
        <v>6</v>
      </c>
    </row>
    <row r="59" spans="1:16">
      <c r="A59" t="s">
        <v>600</v>
      </c>
      <c r="B59">
        <v>6.7</v>
      </c>
    </row>
    <row r="60" spans="1:16">
      <c r="A60" t="s">
        <v>601</v>
      </c>
      <c r="B60">
        <v>3.9</v>
      </c>
    </row>
    <row r="61" spans="1:16">
      <c r="A61" t="s">
        <v>602</v>
      </c>
      <c r="B61">
        <v>4.7</v>
      </c>
    </row>
    <row r="62" spans="1:16">
      <c r="A62" t="s">
        <v>603</v>
      </c>
      <c r="B62">
        <v>11</v>
      </c>
    </row>
    <row r="63" spans="1:16">
      <c r="A63" t="s">
        <v>604</v>
      </c>
      <c r="B63">
        <v>17.600000000000001</v>
      </c>
    </row>
    <row r="64" spans="1:16">
      <c r="A64" t="s">
        <v>605</v>
      </c>
      <c r="B64">
        <v>12.6</v>
      </c>
    </row>
    <row r="65" spans="1:2">
      <c r="A65" t="s">
        <v>606</v>
      </c>
      <c r="B65">
        <v>5</v>
      </c>
    </row>
    <row r="66" spans="1:2">
      <c r="A66" t="s">
        <v>607</v>
      </c>
      <c r="B66">
        <v>9.6</v>
      </c>
    </row>
    <row r="67" spans="1:2">
      <c r="A67" t="s">
        <v>608</v>
      </c>
      <c r="B67">
        <v>12.4</v>
      </c>
    </row>
    <row r="68" spans="1:2">
      <c r="A68" t="s">
        <v>609</v>
      </c>
      <c r="B68">
        <v>16.3</v>
      </c>
    </row>
    <row r="69" spans="1:2">
      <c r="A69" t="s">
        <v>610</v>
      </c>
      <c r="B69">
        <v>46.7</v>
      </c>
    </row>
    <row r="70" spans="1:2">
      <c r="A70" t="s">
        <v>611</v>
      </c>
      <c r="B70">
        <v>4.5999999999999996</v>
      </c>
    </row>
    <row r="71" spans="1:2">
      <c r="A71" t="s">
        <v>612</v>
      </c>
      <c r="B71">
        <v>8.3000000000000007</v>
      </c>
    </row>
    <row r="72" spans="1:2">
      <c r="A72" t="s">
        <v>613</v>
      </c>
      <c r="B72">
        <v>18.2</v>
      </c>
    </row>
    <row r="73" spans="1:2">
      <c r="A73" t="s">
        <v>614</v>
      </c>
      <c r="B73">
        <v>84</v>
      </c>
    </row>
  </sheetData>
  <pageMargins left="0.7" right="0.7" top="0.75" bottom="0.75" header="0.3" footer="0.3"/>
  <pageSetup orientation="portrait" horizontalDpi="0" verticalDpi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2C2C1-95D6-9246-A9EE-2B8B6389D5DA}">
  <dimension ref="A1:AG129"/>
  <sheetViews>
    <sheetView workbookViewId="0"/>
  </sheetViews>
  <sheetFormatPr baseColWidth="10" defaultRowHeight="16"/>
  <cols>
    <col min="32" max="32" width="12.1640625" bestFit="1" customWidth="1"/>
  </cols>
  <sheetData>
    <row r="1" spans="1:33">
      <c r="A1" t="s">
        <v>86</v>
      </c>
      <c r="B1" t="s">
        <v>455</v>
      </c>
      <c r="D1" t="s">
        <v>88</v>
      </c>
      <c r="E1" t="s">
        <v>448</v>
      </c>
      <c r="F1" t="s">
        <v>446</v>
      </c>
      <c r="G1" t="s">
        <v>447</v>
      </c>
      <c r="H1" t="s">
        <v>394</v>
      </c>
      <c r="I1" t="s">
        <v>89</v>
      </c>
      <c r="J1" t="s">
        <v>396</v>
      </c>
      <c r="K1" t="s">
        <v>89</v>
      </c>
      <c r="L1" t="s">
        <v>383</v>
      </c>
      <c r="M1" t="s">
        <v>434</v>
      </c>
      <c r="N1" t="s">
        <v>437</v>
      </c>
      <c r="O1" t="s">
        <v>339</v>
      </c>
      <c r="P1" t="s">
        <v>340</v>
      </c>
      <c r="Q1" t="s">
        <v>341</v>
      </c>
      <c r="R1" t="s">
        <v>342</v>
      </c>
      <c r="S1" t="s">
        <v>343</v>
      </c>
      <c r="T1" t="s">
        <v>444</v>
      </c>
      <c r="U1" t="s">
        <v>698</v>
      </c>
      <c r="V1" t="s">
        <v>13</v>
      </c>
      <c r="W1" t="s">
        <v>118</v>
      </c>
      <c r="X1" t="s">
        <v>445</v>
      </c>
      <c r="Y1" t="s">
        <v>732</v>
      </c>
      <c r="Z1" t="s">
        <v>450</v>
      </c>
      <c r="AA1" t="s">
        <v>451</v>
      </c>
      <c r="AB1" t="s">
        <v>247</v>
      </c>
      <c r="AC1" t="s">
        <v>452</v>
      </c>
      <c r="AD1" t="s">
        <v>23</v>
      </c>
      <c r="AE1" t="s">
        <v>625</v>
      </c>
      <c r="AF1" t="s">
        <v>626</v>
      </c>
      <c r="AG1" t="s">
        <v>699</v>
      </c>
    </row>
    <row r="2" spans="1:33">
      <c r="A2" t="s">
        <v>337</v>
      </c>
    </row>
    <row r="3" spans="1:33">
      <c r="A3" t="s">
        <v>457</v>
      </c>
    </row>
    <row r="4" spans="1:33">
      <c r="A4" t="s">
        <v>234</v>
      </c>
      <c r="B4">
        <v>0</v>
      </c>
      <c r="E4">
        <v>0.05</v>
      </c>
      <c r="F4" s="2">
        <f>IF(D4&gt;0,D4*Agriculture!$D$2+Agriculture!$E$16*E4,IF(E4&gt;0,0,Agriculture!$D$2*0.025))</f>
        <v>0</v>
      </c>
      <c r="G4" s="2">
        <f>L4*1/Agriculture!$C$49*Agriculture!$E$16</f>
        <v>1296866.3142065064</v>
      </c>
      <c r="K4" s="48">
        <f>IF(I4&gt;0,I4,J4/2000*Conversion!$D$23)</f>
        <v>0</v>
      </c>
      <c r="L4">
        <v>25000</v>
      </c>
      <c r="X4">
        <f t="shared" ref="X4:X14" si="0">IF(N4&gt;0,1,IF(M4&gt;0,FLOOR(365.26/M4,0.1),1))</f>
        <v>1</v>
      </c>
      <c r="Y4" s="2">
        <v>1</v>
      </c>
      <c r="Z4" s="2">
        <f>IF(K4&gt;0,F4/K4/X4*Conversion!$E$18,0)*Y4</f>
        <v>0</v>
      </c>
      <c r="AA4" s="2">
        <f>IF(L4&gt;0,G4/L4/X4*Conversion!$E$18,0)*Y4</f>
        <v>518746.52568260254</v>
      </c>
      <c r="AB4" s="2">
        <f>(Z4+AA4)*IF(V4&gt;0,V4,1)</f>
        <v>518746.52568260254</v>
      </c>
      <c r="AC4" s="2">
        <f>(F4*T4)/365.26/Agriculture!$D$2</f>
        <v>0</v>
      </c>
      <c r="AD4" s="3">
        <f>SUM(Z4:AA4)*Conversion!$F$19</f>
        <v>128.18745396142791</v>
      </c>
      <c r="AE4">
        <f>16+12.4+4.6+6</f>
        <v>39</v>
      </c>
      <c r="AF4" s="3">
        <f t="shared" ref="AF4:AF12" si="1">X4*AD4*AE4</f>
        <v>4999.3107044956887</v>
      </c>
    </row>
    <row r="5" spans="1:33" ht="18">
      <c r="A5" t="s">
        <v>94</v>
      </c>
      <c r="B5">
        <v>0</v>
      </c>
      <c r="D5">
        <v>100</v>
      </c>
      <c r="F5" s="2">
        <f>IF(D5&gt;0,D5*Agriculture!$D$2+Agriculture!$E$16*E5,IF(E5&gt;0,0,Agriculture!$D$2*0.025))</f>
        <v>200000</v>
      </c>
      <c r="G5" s="2">
        <f>L5*1/Agriculture!$C$49*Agriculture!$E$16</f>
        <v>0</v>
      </c>
      <c r="I5">
        <v>5000</v>
      </c>
      <c r="K5" s="48">
        <f>IF(I5&gt;0,I5,J5/2000*Conversion!$D$23)</f>
        <v>5000</v>
      </c>
      <c r="N5">
        <v>1</v>
      </c>
      <c r="T5" s="60">
        <f t="shared" ref="T5:T14" si="2">(O5*4+R5*4+P5*9+Q5*9)*10</f>
        <v>0</v>
      </c>
      <c r="U5" s="60">
        <v>14</v>
      </c>
      <c r="V5">
        <v>0.6</v>
      </c>
      <c r="X5">
        <f t="shared" si="0"/>
        <v>1</v>
      </c>
      <c r="Y5" s="2">
        <v>1</v>
      </c>
      <c r="Z5" s="2">
        <f>IF(K5&gt;0,F5/K5/X5*Conversion!$E$18,0)*Y5</f>
        <v>400000</v>
      </c>
      <c r="AA5" s="2">
        <f>IF(L5&gt;0,G5/L5/X5*Conversion!$E$18,0)*Y5</f>
        <v>0</v>
      </c>
      <c r="AB5" s="2">
        <f t="shared" ref="AB5:AB14" si="3">(Z5+AA5)*IF(V5&gt;0,V5,1)</f>
        <v>240000</v>
      </c>
      <c r="AC5" s="2">
        <f>(F5*T5)/365.26/Agriculture!$D$2</f>
        <v>0</v>
      </c>
      <c r="AD5" s="3">
        <f>SUM(Z5:AA5)*Conversion!$F$19</f>
        <v>98.843999999999994</v>
      </c>
      <c r="AE5">
        <f t="shared" ref="AE5:AE14" si="4">16+12.4+4.6</f>
        <v>33</v>
      </c>
      <c r="AF5" s="3">
        <f t="shared" si="1"/>
        <v>3261.8519999999999</v>
      </c>
      <c r="AG5">
        <f t="shared" ref="AG5:AG36" si="5">IF(U5&gt;2,SUM(Z5:AA5),0)</f>
        <v>400000</v>
      </c>
    </row>
    <row r="6" spans="1:33" ht="18">
      <c r="A6" t="s">
        <v>108</v>
      </c>
      <c r="B6">
        <v>0</v>
      </c>
      <c r="D6">
        <v>6</v>
      </c>
      <c r="F6" s="2">
        <f>IF(D6&gt;0,D6*Agriculture!$D$2+Agriculture!$E$16*E6,IF(E6&gt;0,0,Agriculture!$D$2*0.025))</f>
        <v>12000</v>
      </c>
      <c r="G6" s="2">
        <f>L6*1/Agriculture!$C$49*Agriculture!$E$16</f>
        <v>0</v>
      </c>
      <c r="I6">
        <v>1500</v>
      </c>
      <c r="K6" s="48">
        <f>IF(I6&gt;0,I6,J6/2000*Conversion!$D$23)</f>
        <v>1500</v>
      </c>
      <c r="N6">
        <v>1</v>
      </c>
      <c r="T6" s="60">
        <f t="shared" si="2"/>
        <v>0</v>
      </c>
      <c r="U6" s="60">
        <v>8</v>
      </c>
      <c r="V6">
        <v>0.9</v>
      </c>
      <c r="X6">
        <f t="shared" si="0"/>
        <v>1</v>
      </c>
      <c r="Y6" s="2">
        <v>1</v>
      </c>
      <c r="Z6" s="2">
        <f>IF(K6&gt;0,F6/K6/X6*Conversion!$E$18,0)*Y6</f>
        <v>80000</v>
      </c>
      <c r="AA6" s="2">
        <f>IF(L6&gt;0,G6/L6/X6*Conversion!$E$18,0)*Y6</f>
        <v>0</v>
      </c>
      <c r="AB6" s="2">
        <f t="shared" si="3"/>
        <v>72000</v>
      </c>
      <c r="AC6" s="2">
        <f>(F6*T6)/365.26/Agriculture!$D$2</f>
        <v>0</v>
      </c>
      <c r="AD6" s="3">
        <f>SUM(Z6:AA6)*Conversion!$F$19</f>
        <v>19.768799999999999</v>
      </c>
      <c r="AE6">
        <f t="shared" si="4"/>
        <v>33</v>
      </c>
      <c r="AF6" s="3">
        <f t="shared" si="1"/>
        <v>652.37040000000002</v>
      </c>
      <c r="AG6">
        <f t="shared" si="5"/>
        <v>80000</v>
      </c>
    </row>
    <row r="7" spans="1:33" ht="18">
      <c r="A7" t="s">
        <v>109</v>
      </c>
      <c r="B7">
        <v>0</v>
      </c>
      <c r="D7">
        <v>12</v>
      </c>
      <c r="F7" s="2">
        <f>IF(D7&gt;0,D7*Agriculture!$D$2+Agriculture!$E$16*E7,IF(E7&gt;0,0,Agriculture!$D$2*0.025))</f>
        <v>24000</v>
      </c>
      <c r="G7" s="2">
        <f>L7*1/Agriculture!$C$49*Agriculture!$E$16</f>
        <v>0</v>
      </c>
      <c r="I7">
        <v>1250</v>
      </c>
      <c r="K7" s="48">
        <f>IF(I7&gt;0,I7,J7/2000*Conversion!$D$23)</f>
        <v>1250</v>
      </c>
      <c r="N7" s="60">
        <v>1</v>
      </c>
      <c r="T7" s="60">
        <f t="shared" si="2"/>
        <v>0</v>
      </c>
      <c r="U7" s="60">
        <v>10</v>
      </c>
      <c r="V7">
        <v>0.9</v>
      </c>
      <c r="X7">
        <f t="shared" si="0"/>
        <v>1</v>
      </c>
      <c r="Y7" s="2">
        <v>1</v>
      </c>
      <c r="Z7" s="2">
        <f>IF(K7&gt;0,F7/K7/X7*Conversion!$E$18,0)*Y7</f>
        <v>192000</v>
      </c>
      <c r="AA7" s="2">
        <f>IF(L7&gt;0,G7/L7/X7*Conversion!$E$18,0)*Y7</f>
        <v>0</v>
      </c>
      <c r="AB7" s="2">
        <f t="shared" si="3"/>
        <v>172800</v>
      </c>
      <c r="AC7" s="2">
        <f>(F7*T7)/365.26/Agriculture!$D$2</f>
        <v>0</v>
      </c>
      <c r="AD7" s="3">
        <f>SUM(Z7:AA7)*Conversion!$F$19</f>
        <v>47.445119999999996</v>
      </c>
      <c r="AE7">
        <f t="shared" si="4"/>
        <v>33</v>
      </c>
      <c r="AF7" s="3">
        <f t="shared" si="1"/>
        <v>1565.68896</v>
      </c>
      <c r="AG7">
        <f t="shared" si="5"/>
        <v>192000</v>
      </c>
    </row>
    <row r="8" spans="1:33" ht="18">
      <c r="A8" t="s">
        <v>93</v>
      </c>
      <c r="B8">
        <v>0</v>
      </c>
      <c r="D8">
        <v>40</v>
      </c>
      <c r="F8" s="2">
        <f>IF(D8&gt;0,D8*Agriculture!$D$2+Agriculture!$E$16*E8,IF(E8&gt;0,0,Agriculture!$D$2*0.025))</f>
        <v>80000</v>
      </c>
      <c r="G8" s="2">
        <f>L8*1/Agriculture!$C$49*Agriculture!$E$16</f>
        <v>0</v>
      </c>
      <c r="I8">
        <v>8000</v>
      </c>
      <c r="K8" s="48">
        <f>IF(I8&gt;0,I8,J8/2000*Conversion!$D$23)</f>
        <v>8000</v>
      </c>
      <c r="T8" s="60">
        <f t="shared" si="2"/>
        <v>0</v>
      </c>
      <c r="U8" s="60"/>
      <c r="W8">
        <v>1</v>
      </c>
      <c r="X8">
        <f t="shared" si="0"/>
        <v>1</v>
      </c>
      <c r="Y8" s="2">
        <v>0.1</v>
      </c>
      <c r="Z8" s="2">
        <f>IF(K8&gt;0,F8/K8/X8*Conversion!$E$18,0)*Y8</f>
        <v>10000</v>
      </c>
      <c r="AA8" s="2">
        <f>IF(L8&gt;0,G8/L8/X8*Conversion!$E$18,0)*Y8</f>
        <v>0</v>
      </c>
      <c r="AB8" s="2">
        <f t="shared" si="3"/>
        <v>10000</v>
      </c>
      <c r="AC8" s="2">
        <f>(F8*T8)/365.26/Agriculture!$D$2</f>
        <v>0</v>
      </c>
      <c r="AD8" s="3">
        <f>SUM(Z8:AA8)*Conversion!$F$19</f>
        <v>2.4710999999999999</v>
      </c>
      <c r="AE8">
        <f t="shared" si="4"/>
        <v>33</v>
      </c>
      <c r="AF8" s="3">
        <f t="shared" si="1"/>
        <v>81.546300000000002</v>
      </c>
      <c r="AG8">
        <f t="shared" si="5"/>
        <v>0</v>
      </c>
    </row>
    <row r="9" spans="1:33" ht="18">
      <c r="A9" t="s">
        <v>188</v>
      </c>
      <c r="B9">
        <v>0</v>
      </c>
      <c r="E9">
        <v>0.05</v>
      </c>
      <c r="F9" s="2">
        <f>IF(D9&gt;0,D9*Agriculture!$D$2+Agriculture!$E$16*E9,IF(E9&gt;0,0,Agriculture!$D$2*0.025))</f>
        <v>0</v>
      </c>
      <c r="G9" s="2">
        <f>L9*1/Agriculture!$C$49*Agriculture!$E$16</f>
        <v>622495.83081912308</v>
      </c>
      <c r="I9" s="60"/>
      <c r="J9" s="60"/>
      <c r="K9" s="48"/>
      <c r="L9" s="60">
        <v>12000</v>
      </c>
      <c r="M9" s="60"/>
      <c r="N9" s="60"/>
      <c r="O9" s="59"/>
      <c r="P9" s="59"/>
      <c r="Q9" s="59"/>
      <c r="R9" s="59"/>
      <c r="S9" s="59"/>
      <c r="T9" s="60">
        <f t="shared" si="2"/>
        <v>0</v>
      </c>
      <c r="U9" s="60"/>
      <c r="X9">
        <f t="shared" si="0"/>
        <v>1</v>
      </c>
      <c r="Y9" s="2">
        <v>0.1</v>
      </c>
      <c r="Z9" s="2">
        <f>IF(K9&gt;0,F9/K9/X9*Conversion!$E$18,0)*Y9</f>
        <v>0</v>
      </c>
      <c r="AA9" s="2">
        <f>IF(L9&gt;0,G9/L9/X9*Conversion!$E$18,0)*Y9</f>
        <v>51874.652568260266</v>
      </c>
      <c r="AB9" s="2">
        <f t="shared" si="3"/>
        <v>51874.652568260266</v>
      </c>
      <c r="AC9" s="2">
        <f>(F9*T9)/365.26/Agriculture!$D$2</f>
        <v>0</v>
      </c>
      <c r="AD9" s="3">
        <f>SUM(Z9:AA9)*Conversion!$F$19</f>
        <v>12.818745396142793</v>
      </c>
      <c r="AE9">
        <f>16+12.4+4.6+6</f>
        <v>39</v>
      </c>
      <c r="AF9" s="3">
        <f t="shared" si="1"/>
        <v>499.93107044956895</v>
      </c>
      <c r="AG9">
        <f t="shared" si="5"/>
        <v>0</v>
      </c>
    </row>
    <row r="10" spans="1:33" ht="18">
      <c r="A10" t="s">
        <v>683</v>
      </c>
      <c r="D10">
        <v>20</v>
      </c>
      <c r="F10" s="2">
        <f>IF(D10&gt;0,D10*Agriculture!$D$2+Agriculture!$E$16*E10,IF(E10&gt;0,0,Agriculture!$D$2*0.025))</f>
        <v>40000</v>
      </c>
      <c r="G10" s="2">
        <f>L10*1/Agriculture!$C$49*Agriculture!$E$16</f>
        <v>0</v>
      </c>
      <c r="I10" s="60">
        <v>2400</v>
      </c>
      <c r="J10" s="60"/>
      <c r="K10" s="48">
        <v>2400</v>
      </c>
      <c r="L10" s="60"/>
      <c r="M10" s="60"/>
      <c r="N10" s="60"/>
      <c r="O10" s="59"/>
      <c r="P10" s="59"/>
      <c r="Q10" s="59"/>
      <c r="R10" s="59"/>
      <c r="S10" s="59"/>
      <c r="T10" s="60"/>
      <c r="U10" s="60">
        <v>3</v>
      </c>
      <c r="X10">
        <f t="shared" ref="X10" si="6">IF(N10&gt;0,1,IF(M10&gt;0,FLOOR(365.26/M10,0.1),1))</f>
        <v>1</v>
      </c>
      <c r="Y10" s="2">
        <v>0.1</v>
      </c>
      <c r="Z10" s="2">
        <f>IF(K10&gt;0,F10/K10/X10*Conversion!$E$18,0)*Y10</f>
        <v>16666.666666666668</v>
      </c>
      <c r="AA10" s="2">
        <f>IF(L10&gt;0,G10/L10/X10*Conversion!$E$18,0)*Y10</f>
        <v>0</v>
      </c>
      <c r="AB10" s="2">
        <f t="shared" ref="AB10" si="7">(Z10+AA10)*IF(V10&gt;0,V10,1)</f>
        <v>16666.666666666668</v>
      </c>
      <c r="AC10" s="2">
        <f>(F10*T10)/365.26/Agriculture!$D$2</f>
        <v>0</v>
      </c>
      <c r="AD10" s="3">
        <f>SUM(Z10:AA10)*Conversion!$F$19</f>
        <v>4.1185</v>
      </c>
      <c r="AE10">
        <f t="shared" si="4"/>
        <v>33</v>
      </c>
      <c r="AF10" s="3">
        <f t="shared" si="1"/>
        <v>135.91050000000001</v>
      </c>
      <c r="AG10">
        <f t="shared" si="5"/>
        <v>16666.666666666668</v>
      </c>
    </row>
    <row r="11" spans="1:33" ht="18">
      <c r="A11" t="s">
        <v>419</v>
      </c>
      <c r="B11">
        <v>0</v>
      </c>
      <c r="D11">
        <v>0.1</v>
      </c>
      <c r="F11" s="2">
        <f>IF(D11&gt;0,D11*Agriculture!$D$2+Agriculture!$E$16*E11,IF(E11&gt;0,0,Agriculture!$D$2*0.025))</f>
        <v>200</v>
      </c>
      <c r="G11" s="2">
        <f>L11*1/Agriculture!$C$49*Agriculture!$E$16</f>
        <v>0</v>
      </c>
      <c r="I11">
        <v>390</v>
      </c>
      <c r="K11" s="48">
        <f>IF(I11&gt;0,I11,J11/2000*Conversion!$D$23)</f>
        <v>390</v>
      </c>
      <c r="M11">
        <v>150</v>
      </c>
      <c r="T11" s="60">
        <f t="shared" si="2"/>
        <v>0</v>
      </c>
      <c r="U11" s="60"/>
      <c r="V11">
        <v>0.5</v>
      </c>
      <c r="W11">
        <v>1</v>
      </c>
      <c r="X11">
        <f t="shared" si="0"/>
        <v>2.4000000000000004</v>
      </c>
      <c r="Y11" s="2">
        <v>0.1</v>
      </c>
      <c r="Z11" s="2">
        <f>IF(K11&gt;0,F11/K11/X11*Conversion!$E$18,0)*Y11</f>
        <v>213.67521367521363</v>
      </c>
      <c r="AA11" s="2">
        <f>IF(L11&gt;0,G11/L11/X11*Conversion!$E$18,0)*Y11</f>
        <v>0</v>
      </c>
      <c r="AB11" s="2">
        <f t="shared" si="3"/>
        <v>106.83760683760681</v>
      </c>
      <c r="AC11" s="2">
        <f>(F11*T11)/365.26/Agriculture!$D$2</f>
        <v>0</v>
      </c>
      <c r="AD11" s="3">
        <f>SUM(Z11:AA11)*Conversion!$F$19</f>
        <v>5.2801282051282039E-2</v>
      </c>
      <c r="AE11">
        <f t="shared" si="4"/>
        <v>33</v>
      </c>
      <c r="AF11" s="3">
        <f t="shared" si="1"/>
        <v>4.1818615384615381</v>
      </c>
      <c r="AG11">
        <f t="shared" si="5"/>
        <v>0</v>
      </c>
    </row>
    <row r="12" spans="1:33" ht="18">
      <c r="A12" t="s">
        <v>110</v>
      </c>
      <c r="B12">
        <v>0</v>
      </c>
      <c r="D12">
        <v>2</v>
      </c>
      <c r="F12" s="2">
        <f>IF(D12&gt;0,D12*Agriculture!$D$2+Agriculture!$E$16*E12,IF(E12&gt;0,0,Agriculture!$D$2*0.025))</f>
        <v>4000</v>
      </c>
      <c r="G12" s="2">
        <f>L12*1/Agriculture!$C$49*Agriculture!$E$16</f>
        <v>0</v>
      </c>
      <c r="I12">
        <v>1650</v>
      </c>
      <c r="K12" s="48">
        <f>IF(I12&gt;0,I12,J12/2000*Conversion!$D$23)</f>
        <v>1650</v>
      </c>
      <c r="T12" s="60">
        <f t="shared" si="2"/>
        <v>0</v>
      </c>
      <c r="U12" s="60"/>
      <c r="V12">
        <v>0.5</v>
      </c>
      <c r="W12">
        <v>1</v>
      </c>
      <c r="X12">
        <f t="shared" si="0"/>
        <v>1</v>
      </c>
      <c r="Y12" s="2">
        <v>0.1</v>
      </c>
      <c r="Z12" s="2">
        <f>IF(K12&gt;0,F12/K12/X12*Conversion!$E$18,0)*Y12</f>
        <v>2424.2424242424245</v>
      </c>
      <c r="AA12" s="2">
        <f>IF(L12&gt;0,G12/L12/X12*Conversion!$E$18,0)*Y12</f>
        <v>0</v>
      </c>
      <c r="AB12" s="2">
        <f t="shared" si="3"/>
        <v>1212.1212121212122</v>
      </c>
      <c r="AC12" s="2">
        <f>(F12*T12)/365.26/Agriculture!$D$2</f>
        <v>0</v>
      </c>
      <c r="AD12" s="3">
        <f>SUM(Z12:AA12)*Conversion!$F$19</f>
        <v>0.59905454545454551</v>
      </c>
      <c r="AE12">
        <f t="shared" si="4"/>
        <v>33</v>
      </c>
      <c r="AF12" s="3">
        <f t="shared" si="1"/>
        <v>19.768800000000002</v>
      </c>
      <c r="AG12">
        <f t="shared" si="5"/>
        <v>0</v>
      </c>
    </row>
    <row r="13" spans="1:33" ht="18">
      <c r="F13" s="2"/>
      <c r="G13" s="2"/>
      <c r="K13" s="48"/>
      <c r="T13" s="60"/>
      <c r="U13" s="60"/>
      <c r="Y13" s="2"/>
      <c r="Z13" s="2"/>
      <c r="AA13" s="2"/>
      <c r="AB13" s="2"/>
      <c r="AC13" s="2"/>
      <c r="AD13" s="3">
        <f>SUM(Z13:AA13)*Conversion!$F$19</f>
        <v>0</v>
      </c>
      <c r="AF13" s="3"/>
      <c r="AG13">
        <f t="shared" si="5"/>
        <v>0</v>
      </c>
    </row>
    <row r="14" spans="1:33" ht="18">
      <c r="A14" t="s">
        <v>384</v>
      </c>
      <c r="B14">
        <v>0</v>
      </c>
      <c r="F14" s="2">
        <f>IF(D14&gt;0,D14*Agriculture!$D$2+Agriculture!$E$16*E14,IF(E14&gt;0,0,Agriculture!$D$2*0.025))</f>
        <v>50</v>
      </c>
      <c r="G14" s="2">
        <f>L14*1/Agriculture!$C$49*Agriculture!$E$16</f>
        <v>1338366.0362611143</v>
      </c>
      <c r="J14">
        <v>12000</v>
      </c>
      <c r="K14" s="48">
        <f>IF(I14&gt;0,I14,J14/2000*Conversion!$D$23)</f>
        <v>13450.21386</v>
      </c>
      <c r="L14">
        <v>25800</v>
      </c>
      <c r="O14" s="59"/>
      <c r="P14" s="59"/>
      <c r="Q14" s="59"/>
      <c r="R14" s="59"/>
      <c r="S14" s="59"/>
      <c r="T14" s="60">
        <f t="shared" si="2"/>
        <v>0</v>
      </c>
      <c r="U14" s="60"/>
      <c r="X14">
        <f t="shared" si="0"/>
        <v>1</v>
      </c>
      <c r="Y14" s="2">
        <v>0.1</v>
      </c>
      <c r="Z14" s="2">
        <f>IF(K14&gt;0,F14/K14/X14*Conversion!$E$18,0)*Y14</f>
        <v>3.7174130107102998</v>
      </c>
      <c r="AA14" s="2">
        <f>IF(L14&gt;0,G14/L14/X14*Conversion!$E$18,0)*Y14</f>
        <v>51874.652568260244</v>
      </c>
      <c r="AB14" s="2">
        <f t="shared" si="3"/>
        <v>51878.369981270953</v>
      </c>
      <c r="AC14" s="2">
        <f>(F14*T14)/365.26/Agriculture!$D$2</f>
        <v>0</v>
      </c>
      <c r="AD14" s="3">
        <f>SUM(Z14:AA14)*Conversion!$F$19</f>
        <v>12.819664006071864</v>
      </c>
      <c r="AE14">
        <f t="shared" si="4"/>
        <v>33</v>
      </c>
      <c r="AF14" s="3">
        <f t="shared" ref="AF14:AF45" si="8">X14*AD14*AE14</f>
        <v>423.04891220037155</v>
      </c>
      <c r="AG14">
        <f t="shared" si="5"/>
        <v>0</v>
      </c>
    </row>
    <row r="15" spans="1:33" ht="18">
      <c r="F15" s="2"/>
      <c r="G15" s="2"/>
      <c r="K15" s="48"/>
      <c r="O15" s="59"/>
      <c r="P15" s="59"/>
      <c r="Q15" s="59"/>
      <c r="R15" s="59"/>
      <c r="S15" s="59"/>
      <c r="T15" s="60"/>
      <c r="U15" s="60"/>
      <c r="Y15" s="2"/>
      <c r="Z15" s="2"/>
      <c r="AA15" s="2"/>
      <c r="AB15" s="2"/>
      <c r="AC15" s="2"/>
      <c r="AD15" s="3">
        <f>SUM(Z15:AA15)*Conversion!$F$19</f>
        <v>0</v>
      </c>
      <c r="AF15" s="3">
        <f t="shared" si="8"/>
        <v>0</v>
      </c>
      <c r="AG15">
        <f t="shared" si="5"/>
        <v>0</v>
      </c>
    </row>
    <row r="16" spans="1:33" ht="18">
      <c r="A16" t="str">
        <f>Agriculture!B25</f>
        <v>Sugar</v>
      </c>
      <c r="C16">
        <f>SUM(C17:C18)</f>
        <v>1</v>
      </c>
      <c r="D16">
        <f>Agriculture!G25</f>
        <v>35.636108527131782</v>
      </c>
      <c r="F16" s="2"/>
      <c r="G16" s="2"/>
      <c r="K16" s="48"/>
      <c r="O16" s="59"/>
      <c r="P16" s="59"/>
      <c r="Q16" s="59"/>
      <c r="R16" s="59"/>
      <c r="S16" s="59"/>
      <c r="T16" s="60"/>
      <c r="U16" s="60"/>
      <c r="Y16" s="2"/>
      <c r="Z16" s="2"/>
      <c r="AA16" s="2"/>
      <c r="AB16" s="2"/>
      <c r="AC16" s="2"/>
      <c r="AD16" s="3">
        <f>SUM(Z16:AA16)*Conversion!$F$19</f>
        <v>0</v>
      </c>
      <c r="AF16" s="3">
        <f t="shared" si="8"/>
        <v>0</v>
      </c>
      <c r="AG16">
        <f t="shared" si="5"/>
        <v>0</v>
      </c>
    </row>
    <row r="17" spans="1:33" ht="18">
      <c r="A17" t="s">
        <v>246</v>
      </c>
      <c r="B17">
        <v>2</v>
      </c>
      <c r="C17">
        <v>1</v>
      </c>
      <c r="D17">
        <f>$D$16*C17/$C$16</f>
        <v>35.636108527131782</v>
      </c>
      <c r="F17" s="2">
        <f>IF(D17&gt;0,D17*Agriculture!$D$2+Agriculture!$E$16*E17,IF(E17&gt;0,0,Agriculture!$D$2*0.025))</f>
        <v>71272.217054263558</v>
      </c>
      <c r="G17" s="2">
        <f>L17*1/Agriculture!$C$49*Agriculture!$E$16</f>
        <v>0</v>
      </c>
      <c r="H17" t="s">
        <v>395</v>
      </c>
      <c r="I17">
        <v>9339</v>
      </c>
      <c r="K17" s="48">
        <f>IF(I17&gt;0,I17,J17/2000*Conversion!$D$23)</f>
        <v>9339</v>
      </c>
      <c r="O17" s="59">
        <v>0</v>
      </c>
      <c r="P17" s="59">
        <v>0</v>
      </c>
      <c r="Q17" s="59">
        <v>0</v>
      </c>
      <c r="R17" s="59">
        <v>99.98</v>
      </c>
      <c r="S17" s="59">
        <v>3634</v>
      </c>
      <c r="T17" s="60">
        <f>(O17*4+R17*4+P17*9+Q17*9)*10</f>
        <v>3999.2000000000003</v>
      </c>
      <c r="U17" s="60"/>
      <c r="V17" s="59">
        <v>0.31</v>
      </c>
      <c r="X17">
        <f>IF(N17&gt;0,1,IF(M17&gt;0,FLOOR(365.26/M17,0.1),1))</f>
        <v>1</v>
      </c>
      <c r="Y17" s="2">
        <v>0.1</v>
      </c>
      <c r="Z17" s="2">
        <f>IF(K17&gt;0,F17/K17/X17*Conversion!$E$18,0)*Y17</f>
        <v>7631.6754528604306</v>
      </c>
      <c r="AA17" s="2">
        <f>IF(L17&gt;0,G17/L17/X17*Conversion!$E$18,0)*Y17</f>
        <v>0</v>
      </c>
      <c r="AB17" s="2">
        <f>(Z17+AA17)*IF(V17&gt;0,V17,1)</f>
        <v>2365.8193903867336</v>
      </c>
      <c r="AC17" s="2">
        <f>(F17*T17)/365.26/Agriculture!$D$2</f>
        <v>390.1766555924695</v>
      </c>
      <c r="AD17" s="3">
        <f>SUM(Z17:AA17)*Conversion!$F$19</f>
        <v>1.8858633211563409</v>
      </c>
      <c r="AE17">
        <f t="shared" ref="AE17" si="9">16+12.4+4.6</f>
        <v>33</v>
      </c>
      <c r="AF17" s="3">
        <f t="shared" si="8"/>
        <v>62.233489598159252</v>
      </c>
      <c r="AG17">
        <f t="shared" si="5"/>
        <v>0</v>
      </c>
    </row>
    <row r="18" spans="1:33" ht="18">
      <c r="A18" t="s">
        <v>371</v>
      </c>
      <c r="B18">
        <v>2</v>
      </c>
      <c r="C18">
        <v>0</v>
      </c>
      <c r="D18">
        <f>$D$16*C18/$C$16</f>
        <v>0</v>
      </c>
      <c r="F18" s="2">
        <f>IF(D18&gt;0,D18*Agriculture!$D$2+Agriculture!$E$16*E18,IF(E18&gt;0,0,Agriculture!$D$2*0.025))</f>
        <v>50</v>
      </c>
      <c r="G18" s="2">
        <f>L18*1/Agriculture!$C$49*Agriculture!$E$16</f>
        <v>0</v>
      </c>
      <c r="H18" t="s">
        <v>395</v>
      </c>
      <c r="I18">
        <v>7151</v>
      </c>
      <c r="K18" s="48">
        <f>IF(I18&gt;0,I18,J18/2000*Conversion!$D$23)</f>
        <v>7151</v>
      </c>
      <c r="O18" s="59">
        <v>0</v>
      </c>
      <c r="P18" s="59">
        <v>0</v>
      </c>
      <c r="Q18" s="59">
        <v>0</v>
      </c>
      <c r="R18" s="59">
        <v>99.98</v>
      </c>
      <c r="S18" s="59">
        <v>2781</v>
      </c>
      <c r="T18" s="60">
        <f>(O18*4+R18*4+P18*9+Q18*9)*10</f>
        <v>3999.2000000000003</v>
      </c>
      <c r="U18" s="60"/>
      <c r="X18">
        <f>IF(N18&gt;0,1,IF(M18&gt;0,FLOOR(365.26/M18,0.1),1))</f>
        <v>1</v>
      </c>
      <c r="Y18" s="2">
        <v>0.1</v>
      </c>
      <c r="Z18" s="2">
        <f>IF(K18&gt;0,F18/K18/X18*Conversion!$E$18,0)*Y18</f>
        <v>6.9920290868410007</v>
      </c>
      <c r="AA18" s="2">
        <f>IF(L18&gt;0,G18/L18/X18*Conversion!$E$18,0)*Y18</f>
        <v>0</v>
      </c>
      <c r="AB18" s="2">
        <f>(Z18+AA18)*IF(V18&gt;0,V18,1)</f>
        <v>6.9920290868410007</v>
      </c>
      <c r="AC18" s="2">
        <f>(F18*T18)/365.26/Agriculture!$D$2</f>
        <v>0.2737228275748782</v>
      </c>
      <c r="AD18" s="3">
        <f>SUM(Z18:AA18)*Conversion!$F$19</f>
        <v>1.7278003076492796E-3</v>
      </c>
      <c r="AE18">
        <f>16+6+10.5</f>
        <v>32.5</v>
      </c>
      <c r="AF18" s="3">
        <f t="shared" si="8"/>
        <v>5.6153509998601588E-2</v>
      </c>
      <c r="AG18">
        <f t="shared" si="5"/>
        <v>0</v>
      </c>
    </row>
    <row r="19" spans="1:33" ht="18">
      <c r="F19" s="2"/>
      <c r="G19" s="2"/>
      <c r="K19" s="48"/>
      <c r="O19" s="59"/>
      <c r="P19" s="59"/>
      <c r="Q19" s="59"/>
      <c r="R19" s="59"/>
      <c r="S19" s="59"/>
      <c r="T19" s="60"/>
      <c r="U19" s="60"/>
      <c r="Y19" s="2">
        <v>0.1</v>
      </c>
      <c r="Z19" s="2"/>
      <c r="AA19" s="2"/>
      <c r="AB19" s="2"/>
      <c r="AC19" s="2"/>
      <c r="AD19" s="3">
        <f>SUM(Z19:AA19)*Conversion!$F$19</f>
        <v>0</v>
      </c>
      <c r="AF19" s="3">
        <f t="shared" si="8"/>
        <v>0</v>
      </c>
      <c r="AG19">
        <f t="shared" si="5"/>
        <v>0</v>
      </c>
    </row>
    <row r="20" spans="1:33" ht="18">
      <c r="A20" t="str">
        <f>Agriculture!B26</f>
        <v>Oil &amp; Fats</v>
      </c>
      <c r="C20">
        <f>SUM(C21:C43)</f>
        <v>4.9999999999999982</v>
      </c>
      <c r="D20">
        <f>Agriculture!G26</f>
        <v>27.549446266968328</v>
      </c>
      <c r="F20" s="2"/>
      <c r="G20" s="2"/>
      <c r="K20" s="48"/>
      <c r="O20" s="59"/>
      <c r="P20" s="59"/>
      <c r="Q20" s="59"/>
      <c r="R20" s="59"/>
      <c r="S20" s="59"/>
      <c r="T20" s="60"/>
      <c r="U20" s="60"/>
      <c r="Y20" s="2">
        <v>0.1</v>
      </c>
      <c r="Z20" s="2"/>
      <c r="AA20" s="2"/>
      <c r="AB20" s="2"/>
      <c r="AC20" s="2"/>
      <c r="AD20" s="3">
        <f>SUM(Z20:AA20)*Conversion!$F$19</f>
        <v>0</v>
      </c>
      <c r="AF20" s="3">
        <f t="shared" si="8"/>
        <v>0</v>
      </c>
      <c r="AG20">
        <f t="shared" si="5"/>
        <v>0</v>
      </c>
    </row>
    <row r="21" spans="1:33">
      <c r="A21" t="s">
        <v>397</v>
      </c>
      <c r="B21">
        <v>3</v>
      </c>
      <c r="C21">
        <v>0.2</v>
      </c>
      <c r="D21">
        <f>$D$20*C21/$C$20</f>
        <v>1.1019778506787337</v>
      </c>
      <c r="F21" s="2">
        <f>IF(D21&gt;0,D21*Agriculture!$D$2+Agriculture!$E$16*E21,IF(E21&gt;0,0,Agriculture!$D$2*0.025))</f>
        <v>2203.9557013574672</v>
      </c>
      <c r="G21" s="2">
        <f>L21*1/Agriculture!$C$49*Agriculture!$E$16</f>
        <v>0</v>
      </c>
      <c r="J21">
        <v>1150</v>
      </c>
      <c r="K21" s="48">
        <f>IF(I21&gt;0,I21,J21/2000*Conversion!$D$23)</f>
        <v>1288.9788282499999</v>
      </c>
      <c r="N21">
        <v>1</v>
      </c>
      <c r="X21">
        <f t="shared" ref="X21:X43" si="10">IF(N21&gt;0,1,IF(M21&gt;0,FLOOR(365.26/M21,0.1),1))</f>
        <v>1</v>
      </c>
      <c r="Y21" s="2">
        <v>1</v>
      </c>
      <c r="Z21" s="2">
        <f>IF(K21&gt;0,F21/K21/X21*Conversion!$E$18,0)*Y21</f>
        <v>17098.463163663429</v>
      </c>
      <c r="AA21" s="2">
        <f>IF(L21&gt;0,G21/L21/X21*Conversion!$E$18,0)*Y21</f>
        <v>0</v>
      </c>
      <c r="AB21" s="2">
        <f t="shared" ref="AB21:AB43" si="11">(Z21+AA21)*IF(V21&gt;0,V21,1)</f>
        <v>17098.463163663429</v>
      </c>
      <c r="AC21" s="2">
        <f>(F21*T21)/365.26/Agriculture!$D$2</f>
        <v>0</v>
      </c>
      <c r="AD21" s="3">
        <f>SUM(Z21:AA21)*Conversion!$F$19</f>
        <v>4.2252012323728696</v>
      </c>
      <c r="AE21">
        <f>1.5+9.4+3.9</f>
        <v>14.8</v>
      </c>
      <c r="AF21" s="3">
        <f t="shared" si="8"/>
        <v>62.532978239118471</v>
      </c>
      <c r="AG21">
        <f t="shared" si="5"/>
        <v>0</v>
      </c>
    </row>
    <row r="22" spans="1:33" ht="18">
      <c r="A22" t="s">
        <v>393</v>
      </c>
      <c r="B22">
        <v>3</v>
      </c>
      <c r="C22">
        <v>1</v>
      </c>
      <c r="D22">
        <f t="shared" ref="D22:D42" si="12">$D$20*C22/$C$20</f>
        <v>5.5098892533936672</v>
      </c>
      <c r="F22" s="2">
        <f>IF(D22&gt;0,D22*Agriculture!$D$2+Agriculture!$E$16*E22,IF(E22&gt;0,0,Agriculture!$D$2*0.025))</f>
        <v>11019.778506787334</v>
      </c>
      <c r="G22" s="2">
        <f>L22*1/Agriculture!$C$49*Agriculture!$E$16</f>
        <v>0</v>
      </c>
      <c r="I22" s="48"/>
      <c r="J22">
        <v>3680</v>
      </c>
      <c r="K22" s="48">
        <f>IF(I22&gt;0,I22,J22/2000*Conversion!$D$23)</f>
        <v>4124.7322504000003</v>
      </c>
      <c r="N22">
        <v>1</v>
      </c>
      <c r="T22" s="60">
        <f t="shared" ref="T22:T43" si="13">(O22*4+R22*4+P22*9+Q22*9)*10</f>
        <v>0</v>
      </c>
      <c r="U22" s="60">
        <v>12</v>
      </c>
      <c r="X22">
        <f t="shared" si="10"/>
        <v>1</v>
      </c>
      <c r="Y22" s="2">
        <v>1</v>
      </c>
      <c r="Z22" s="2">
        <f>IF(K22&gt;0,F22/K22/X22*Conversion!$E$18,0)*Y22</f>
        <v>26716.348693224096</v>
      </c>
      <c r="AA22" s="2">
        <f>IF(L22&gt;0,G22/L22/X22*Conversion!$E$18,0)*Y22</f>
        <v>0</v>
      </c>
      <c r="AB22" s="2">
        <f t="shared" si="11"/>
        <v>26716.348693224096</v>
      </c>
      <c r="AC22" s="2">
        <f>(F22*T22)/365.26/Agriculture!$D$2</f>
        <v>0</v>
      </c>
      <c r="AD22" s="3">
        <f>SUM(Z22:AA22)*Conversion!$F$19</f>
        <v>6.601876925582606</v>
      </c>
      <c r="AE22">
        <f t="shared" ref="AE22:AE85" si="14">1.5+9.4+3.9</f>
        <v>14.8</v>
      </c>
      <c r="AF22" s="3">
        <f t="shared" si="8"/>
        <v>97.707778498622574</v>
      </c>
      <c r="AG22">
        <f t="shared" si="5"/>
        <v>26716.348693224096</v>
      </c>
    </row>
    <row r="23" spans="1:33" ht="18">
      <c r="A23" t="s">
        <v>345</v>
      </c>
      <c r="B23">
        <v>3</v>
      </c>
      <c r="C23">
        <v>0</v>
      </c>
      <c r="D23">
        <f t="shared" si="12"/>
        <v>0</v>
      </c>
      <c r="F23" s="2">
        <f>IF(D23&gt;0,D23*Agriculture!$D$2+Agriculture!$E$16*E23,IF(E23&gt;0,0,Agriculture!$D$2*0.025))</f>
        <v>50</v>
      </c>
      <c r="G23" s="2">
        <f>L23*1/Agriculture!$C$49*Agriculture!$E$16</f>
        <v>0</v>
      </c>
      <c r="H23" t="s">
        <v>395</v>
      </c>
      <c r="I23" s="60">
        <v>3370</v>
      </c>
      <c r="J23" s="60"/>
      <c r="K23" s="48">
        <f>IF(I23&gt;0,I23,J23/2000*Conversion!$D$23)</f>
        <v>3370</v>
      </c>
      <c r="L23" s="60"/>
      <c r="M23" s="60"/>
      <c r="N23" s="60"/>
      <c r="O23" s="59">
        <v>27</v>
      </c>
      <c r="P23" s="59">
        <v>34</v>
      </c>
      <c r="Q23" s="59">
        <v>53</v>
      </c>
      <c r="R23" s="59">
        <v>30</v>
      </c>
      <c r="S23" s="60">
        <v>1747</v>
      </c>
      <c r="T23" s="60">
        <f t="shared" si="13"/>
        <v>10110</v>
      </c>
      <c r="U23" s="60"/>
      <c r="V23" s="118">
        <v>0.31</v>
      </c>
      <c r="X23">
        <f t="shared" si="10"/>
        <v>1</v>
      </c>
      <c r="Y23" s="2">
        <v>0.1</v>
      </c>
      <c r="Z23" s="2">
        <f>IF(K23&gt;0,F23/K23/X23*Conversion!$E$18,0)*Y23</f>
        <v>14.836795252225521</v>
      </c>
      <c r="AA23" s="2">
        <f>IF(L23&gt;0,G23/L23/X23*Conversion!$E$18,0)*Y23</f>
        <v>0</v>
      </c>
      <c r="AB23" s="2">
        <f t="shared" si="11"/>
        <v>4.5994065281899115</v>
      </c>
      <c r="AC23" s="2">
        <f>(F23*T23)/365.26/Agriculture!$D$2</f>
        <v>0.69197284126375735</v>
      </c>
      <c r="AD23" s="3">
        <f>SUM(Z23:AA23)*Conversion!$F$19</f>
        <v>3.6663204747774481E-3</v>
      </c>
      <c r="AE23">
        <f t="shared" si="14"/>
        <v>14.8</v>
      </c>
      <c r="AF23" s="3">
        <f t="shared" si="8"/>
        <v>5.4261543026706237E-2</v>
      </c>
      <c r="AG23">
        <f t="shared" si="5"/>
        <v>0</v>
      </c>
    </row>
    <row r="24" spans="1:33" ht="18">
      <c r="A24" t="s">
        <v>346</v>
      </c>
      <c r="B24">
        <v>3</v>
      </c>
      <c r="C24">
        <v>0</v>
      </c>
      <c r="D24">
        <f t="shared" si="12"/>
        <v>0</v>
      </c>
      <c r="F24" s="2">
        <f>IF(D24&gt;0,D24*Agriculture!$D$2+Agriculture!$E$16*E24,IF(E24&gt;0,0,Agriculture!$D$2*0.025))</f>
        <v>50</v>
      </c>
      <c r="G24" s="2">
        <f>L24*1/Agriculture!$C$49*Agriculture!$E$16</f>
        <v>0</v>
      </c>
      <c r="H24" t="s">
        <v>395</v>
      </c>
      <c r="I24" s="60">
        <v>1500</v>
      </c>
      <c r="J24" s="60"/>
      <c r="K24" s="48">
        <f>IF(I24&gt;0,I24,J24/2000*Conversion!$D$23)</f>
        <v>1500</v>
      </c>
      <c r="L24" s="60"/>
      <c r="M24" s="60"/>
      <c r="N24" s="60"/>
      <c r="O24" s="59">
        <v>15.62</v>
      </c>
      <c r="P24" s="59">
        <v>30.75</v>
      </c>
      <c r="Q24" s="59">
        <v>76</v>
      </c>
      <c r="R24" s="59">
        <v>43.85</v>
      </c>
      <c r="S24" s="59">
        <v>751</v>
      </c>
      <c r="T24" s="60">
        <f t="shared" si="13"/>
        <v>11986.300000000001</v>
      </c>
      <c r="U24" s="60"/>
      <c r="X24">
        <f t="shared" si="10"/>
        <v>1</v>
      </c>
      <c r="Y24" s="2">
        <v>0.1</v>
      </c>
      <c r="Z24" s="2">
        <f>IF(K24&gt;0,F24/K24/X24*Conversion!$E$18,0)*Y24</f>
        <v>33.333333333333336</v>
      </c>
      <c r="AA24" s="2">
        <f>IF(L24&gt;0,G24/L24/X24*Conversion!$E$18,0)*Y24</f>
        <v>0</v>
      </c>
      <c r="AB24" s="2">
        <f t="shared" si="11"/>
        <v>33.333333333333336</v>
      </c>
      <c r="AC24" s="2">
        <f>(F24*T24)/365.26/Agriculture!$D$2</f>
        <v>0.82039506105240101</v>
      </c>
      <c r="AD24" s="3">
        <f>SUM(Z24:AA24)*Conversion!$F$19</f>
        <v>8.2369999999999995E-3</v>
      </c>
      <c r="AE24">
        <f t="shared" si="14"/>
        <v>14.8</v>
      </c>
      <c r="AF24" s="3">
        <f t="shared" si="8"/>
        <v>0.1219076</v>
      </c>
      <c r="AG24">
        <f t="shared" si="5"/>
        <v>0</v>
      </c>
    </row>
    <row r="25" spans="1:33" ht="18">
      <c r="A25" t="s">
        <v>432</v>
      </c>
      <c r="B25">
        <v>3</v>
      </c>
      <c r="C25">
        <v>0</v>
      </c>
      <c r="D25">
        <f t="shared" si="12"/>
        <v>0</v>
      </c>
      <c r="F25" s="2">
        <f>IF(D25&gt;0,D25*Agriculture!$D$2+Agriculture!$E$16*E25,IF(E25&gt;0,0,Agriculture!$D$2*0.025))</f>
        <v>50</v>
      </c>
      <c r="G25" s="2">
        <f>L25*1/Agriculture!$C$49*Agriculture!$E$16</f>
        <v>0</v>
      </c>
      <c r="H25" t="s">
        <v>395</v>
      </c>
      <c r="I25">
        <v>8000</v>
      </c>
      <c r="K25" s="48">
        <f>IF(I25&gt;0,I25,J25/2000*Conversion!$D$23)</f>
        <v>8000</v>
      </c>
      <c r="O25" s="59">
        <v>8.6</v>
      </c>
      <c r="P25" s="59">
        <v>21.8</v>
      </c>
      <c r="Q25" s="59">
        <v>9.1999999999999993</v>
      </c>
      <c r="R25" s="59">
        <v>48</v>
      </c>
      <c r="S25" s="60">
        <v>3290</v>
      </c>
      <c r="T25" s="60">
        <f t="shared" si="13"/>
        <v>5054</v>
      </c>
      <c r="U25" s="60"/>
      <c r="W25">
        <v>1</v>
      </c>
      <c r="X25">
        <f t="shared" si="10"/>
        <v>1</v>
      </c>
      <c r="Y25" s="2">
        <v>0.1</v>
      </c>
      <c r="Z25" s="2">
        <f>IF(K25&gt;0,F25/K25/X25*Conversion!$E$18,0)*Y25</f>
        <v>6.25</v>
      </c>
      <c r="AA25" s="2">
        <f>IF(L25&gt;0,G25/L25/X25*Conversion!$E$18,0)*Y25</f>
        <v>0</v>
      </c>
      <c r="AB25" s="2">
        <f t="shared" si="11"/>
        <v>6.25</v>
      </c>
      <c r="AC25" s="2">
        <f>(F25*T25)/365.26/Agriculture!$D$2</f>
        <v>0.34591797623610582</v>
      </c>
      <c r="AD25" s="3">
        <f>SUM(Z25:AA25)*Conversion!$F$19</f>
        <v>1.5444374999999998E-3</v>
      </c>
      <c r="AE25">
        <f t="shared" si="14"/>
        <v>14.8</v>
      </c>
      <c r="AF25" s="3">
        <f t="shared" si="8"/>
        <v>2.2857674999999997E-2</v>
      </c>
      <c r="AG25">
        <f t="shared" si="5"/>
        <v>0</v>
      </c>
    </row>
    <row r="26" spans="1:33" ht="18">
      <c r="A26" t="s">
        <v>347</v>
      </c>
      <c r="B26">
        <v>3</v>
      </c>
      <c r="C26">
        <v>0.1</v>
      </c>
      <c r="D26">
        <f t="shared" si="12"/>
        <v>0.55098892533936683</v>
      </c>
      <c r="F26" s="2">
        <f>IF(D26&gt;0,D26*Agriculture!$D$2+Agriculture!$E$16*E26,IF(E26&gt;0,0,Agriculture!$D$2*0.025))</f>
        <v>1101.9778506787336</v>
      </c>
      <c r="G26" s="2">
        <f>L26*1/Agriculture!$C$49*Agriculture!$E$16</f>
        <v>0</v>
      </c>
      <c r="H26" t="s">
        <v>395</v>
      </c>
      <c r="I26" s="60">
        <v>1350</v>
      </c>
      <c r="J26" s="60"/>
      <c r="K26" s="48">
        <f>IF(I26&gt;0,I26,J26/2000*Conversion!$D$23)</f>
        <v>1350</v>
      </c>
      <c r="L26" s="60"/>
      <c r="M26" s="60"/>
      <c r="N26" s="60">
        <v>1</v>
      </c>
      <c r="O26" s="59">
        <v>0</v>
      </c>
      <c r="P26" s="59">
        <v>100</v>
      </c>
      <c r="Q26" s="59">
        <v>3</v>
      </c>
      <c r="R26" s="59">
        <v>0</v>
      </c>
      <c r="S26" s="60">
        <v>1188</v>
      </c>
      <c r="T26" s="60">
        <f t="shared" si="13"/>
        <v>9270</v>
      </c>
      <c r="U26" s="60"/>
      <c r="X26">
        <f t="shared" si="10"/>
        <v>1</v>
      </c>
      <c r="Y26" s="2">
        <v>1</v>
      </c>
      <c r="Z26" s="2">
        <f>IF(K26&gt;0,F26/K26/X26*Conversion!$E$18,0)*Y26</f>
        <v>8162.7988939165452</v>
      </c>
      <c r="AA26" s="2">
        <f>IF(L26&gt;0,G26/L26/X26*Conversion!$E$18,0)*Y26</f>
        <v>0</v>
      </c>
      <c r="AB26" s="2">
        <f t="shared" si="11"/>
        <v>8162.7988939165452</v>
      </c>
      <c r="AC26" s="2">
        <f>(F26*T26)/365.26/Agriculture!$D$2</f>
        <v>13.983648190045255</v>
      </c>
      <c r="AD26" s="3">
        <f>SUM(Z26:AA26)*Conversion!$F$19</f>
        <v>2.0171092346757176</v>
      </c>
      <c r="AE26">
        <f t="shared" si="14"/>
        <v>14.8</v>
      </c>
      <c r="AF26" s="3">
        <f t="shared" si="8"/>
        <v>29.85321667320062</v>
      </c>
      <c r="AG26">
        <f t="shared" si="5"/>
        <v>0</v>
      </c>
    </row>
    <row r="27" spans="1:33" ht="18">
      <c r="A27" t="s">
        <v>348</v>
      </c>
      <c r="B27">
        <v>3</v>
      </c>
      <c r="C27">
        <v>0.1</v>
      </c>
      <c r="D27">
        <f t="shared" si="12"/>
        <v>0.55098892533936683</v>
      </c>
      <c r="F27" s="2">
        <f>IF(D27&gt;0,D27*Agriculture!$D$2+Agriculture!$E$16*E27,IF(E27&gt;0,0,Agriculture!$D$2*0.025))</f>
        <v>1101.9778506787336</v>
      </c>
      <c r="G27" s="2">
        <f>L27*1/Agriculture!$C$49*Agriculture!$E$16</f>
        <v>0</v>
      </c>
      <c r="H27" t="s">
        <v>395</v>
      </c>
      <c r="I27" s="60">
        <v>3333</v>
      </c>
      <c r="J27" s="60"/>
      <c r="K27" s="48">
        <f>IF(I27&gt;0,I27,J27/2000*Conversion!$D$23)</f>
        <v>3333</v>
      </c>
      <c r="L27" s="60"/>
      <c r="M27" s="60"/>
      <c r="N27" s="60"/>
      <c r="O27" s="59">
        <v>35</v>
      </c>
      <c r="P27" s="59">
        <v>5</v>
      </c>
      <c r="Q27" s="59">
        <v>0</v>
      </c>
      <c r="R27" s="59">
        <v>30</v>
      </c>
      <c r="S27" s="59">
        <v>979</v>
      </c>
      <c r="T27" s="60">
        <f t="shared" si="13"/>
        <v>3050</v>
      </c>
      <c r="U27" s="60"/>
      <c r="X27">
        <f t="shared" si="10"/>
        <v>1</v>
      </c>
      <c r="Y27" s="2">
        <v>0.1</v>
      </c>
      <c r="Z27" s="2">
        <f>IF(K27&gt;0,F27/K27/X27*Conversion!$E$18,0)*Y27</f>
        <v>330.62641784540466</v>
      </c>
      <c r="AA27" s="2">
        <f>IF(L27&gt;0,G27/L27/X27*Conversion!$E$18,0)*Y27</f>
        <v>0</v>
      </c>
      <c r="AB27" s="2">
        <f t="shared" si="11"/>
        <v>330.62641784540466</v>
      </c>
      <c r="AC27" s="2">
        <f>(F27*T27)/365.26/Agriculture!$D$2</f>
        <v>4.6008766968325814</v>
      </c>
      <c r="AD27" s="3">
        <f>SUM(Z27:AA27)*Conversion!$F$19</f>
        <v>8.1701094113777933E-2</v>
      </c>
      <c r="AE27">
        <f t="shared" si="14"/>
        <v>14.8</v>
      </c>
      <c r="AF27" s="3">
        <f t="shared" si="8"/>
        <v>1.2091761928839135</v>
      </c>
      <c r="AG27">
        <f t="shared" si="5"/>
        <v>0</v>
      </c>
    </row>
    <row r="28" spans="1:33" ht="18">
      <c r="A28" t="s">
        <v>349</v>
      </c>
      <c r="B28">
        <v>3</v>
      </c>
      <c r="C28">
        <v>0.2</v>
      </c>
      <c r="D28">
        <f t="shared" si="12"/>
        <v>1.1019778506787337</v>
      </c>
      <c r="E28">
        <v>0.05</v>
      </c>
      <c r="F28" s="2">
        <f>IF(D28&gt;0,D28*Agriculture!$D$2+Agriculture!$E$16*E28,IF(E28&gt;0,0,Agriculture!$D$2*0.025))</f>
        <v>243667.49474346687</v>
      </c>
      <c r="G28" s="2">
        <f>L28*1/Agriculture!$C$49*Agriculture!$E$16</f>
        <v>103749.30513652049</v>
      </c>
      <c r="H28" t="s">
        <v>395</v>
      </c>
      <c r="I28" s="60">
        <v>2000</v>
      </c>
      <c r="J28" s="60"/>
      <c r="K28" s="48">
        <f>IF(I28&gt;0,I28,J28/2000*Conversion!$D$23)</f>
        <v>2000</v>
      </c>
      <c r="L28" s="60">
        <f>I28</f>
        <v>2000</v>
      </c>
      <c r="M28" s="60"/>
      <c r="N28" s="60"/>
      <c r="O28" s="59">
        <v>18.29</v>
      </c>
      <c r="P28" s="59">
        <v>42.16</v>
      </c>
      <c r="Q28" s="59">
        <v>68</v>
      </c>
      <c r="R28" s="59">
        <v>28.88</v>
      </c>
      <c r="S28" s="60">
        <v>1106</v>
      </c>
      <c r="T28" s="60">
        <f t="shared" si="13"/>
        <v>11801.199999999999</v>
      </c>
      <c r="U28" s="60"/>
      <c r="X28">
        <f t="shared" si="10"/>
        <v>1</v>
      </c>
      <c r="Y28" s="2">
        <v>0.1</v>
      </c>
      <c r="Z28" s="2">
        <f>IF(K28&gt;0,F28/K28/X28*Conversion!$E$18,0)*Y28</f>
        <v>121833.74737173345</v>
      </c>
      <c r="AA28" s="2">
        <f>IF(L28&gt;0,G28/L28/X28*Conversion!$E$18,0)*Y28</f>
        <v>51874.652568260244</v>
      </c>
      <c r="AB28" s="2">
        <f t="shared" si="11"/>
        <v>173708.39993999369</v>
      </c>
      <c r="AC28" s="2">
        <f>(F28*T28)/365.26/Agriculture!$D$2</f>
        <v>3936.3314337274833</v>
      </c>
      <c r="AD28" s="3">
        <f>SUM(Z28:AA28)*Conversion!$F$19</f>
        <v>42.925082709171839</v>
      </c>
      <c r="AE28">
        <f t="shared" si="14"/>
        <v>14.8</v>
      </c>
      <c r="AF28" s="3">
        <f t="shared" si="8"/>
        <v>635.29122409574325</v>
      </c>
      <c r="AG28">
        <f t="shared" si="5"/>
        <v>0</v>
      </c>
    </row>
    <row r="29" spans="1:33" ht="18">
      <c r="A29" t="s">
        <v>350</v>
      </c>
      <c r="B29">
        <v>3</v>
      </c>
      <c r="C29">
        <v>0</v>
      </c>
      <c r="D29">
        <f t="shared" si="12"/>
        <v>0</v>
      </c>
      <c r="F29" s="2">
        <f>IF(D29&gt;0,D29*Agriculture!$D$2+Agriculture!$E$16*E29,IF(E29&gt;0,0,Agriculture!$D$2*0.025))</f>
        <v>50</v>
      </c>
      <c r="G29" s="2">
        <f>L29*1/Agriculture!$C$49*Agriculture!$E$16</f>
        <v>0</v>
      </c>
      <c r="H29" t="s">
        <v>395</v>
      </c>
      <c r="I29" s="60">
        <v>1071</v>
      </c>
      <c r="J29" s="60"/>
      <c r="K29" s="48">
        <f>IF(I29&gt;0,I29,J29/2000*Conversion!$D$23)</f>
        <v>1071</v>
      </c>
      <c r="L29" s="60"/>
      <c r="M29" s="60"/>
      <c r="N29" s="60"/>
      <c r="O29" s="59">
        <v>9</v>
      </c>
      <c r="P29" s="59">
        <v>1.8</v>
      </c>
      <c r="Q29" s="59"/>
      <c r="R29" s="59">
        <v>75</v>
      </c>
      <c r="S29" s="59">
        <v>366</v>
      </c>
      <c r="T29" s="60">
        <f t="shared" si="13"/>
        <v>3522</v>
      </c>
      <c r="U29" s="60"/>
      <c r="X29">
        <f t="shared" si="10"/>
        <v>1</v>
      </c>
      <c r="Y29" s="2">
        <v>0.1</v>
      </c>
      <c r="Z29" s="2">
        <f>IF(K29&gt;0,F29/K29/X29*Conversion!$E$18,0)*Y29</f>
        <v>46.685340802987866</v>
      </c>
      <c r="AA29" s="2">
        <f>IF(L29&gt;0,G29/L29/X29*Conversion!$E$18,0)*Y29</f>
        <v>0</v>
      </c>
      <c r="AB29" s="2">
        <f t="shared" si="11"/>
        <v>46.685340802987866</v>
      </c>
      <c r="AC29" s="2">
        <f>(F29*T29)/365.26/Agriculture!$D$2</f>
        <v>0.24106116191206267</v>
      </c>
      <c r="AD29" s="3">
        <f>SUM(Z29:AA29)*Conversion!$F$19</f>
        <v>1.153641456582633E-2</v>
      </c>
      <c r="AE29">
        <f t="shared" si="14"/>
        <v>14.8</v>
      </c>
      <c r="AF29" s="3">
        <f t="shared" si="8"/>
        <v>0.1707389355742297</v>
      </c>
      <c r="AG29">
        <f t="shared" si="5"/>
        <v>0</v>
      </c>
    </row>
    <row r="30" spans="1:33" ht="18">
      <c r="A30" t="s">
        <v>352</v>
      </c>
      <c r="B30">
        <v>3</v>
      </c>
      <c r="C30">
        <v>0.2</v>
      </c>
      <c r="D30">
        <f t="shared" si="12"/>
        <v>1.1019778506787337</v>
      </c>
      <c r="F30" s="2">
        <f>IF(D30&gt;0,D30*Agriculture!$D$2+Agriculture!$E$16*E30,IF(E30&gt;0,0,Agriculture!$D$2*0.025))</f>
        <v>2203.9557013574672</v>
      </c>
      <c r="G30" s="2">
        <f>L30*1/Agriculture!$C$49*Agriculture!$E$16</f>
        <v>0</v>
      </c>
      <c r="H30" t="s">
        <v>395</v>
      </c>
      <c r="I30" s="60">
        <v>2035</v>
      </c>
      <c r="J30" s="60"/>
      <c r="K30" s="48">
        <f>IF(I30&gt;0,I30,J30/2000*Conversion!$D$23)</f>
        <v>2035</v>
      </c>
      <c r="L30" s="60"/>
      <c r="M30" s="60"/>
      <c r="N30" s="60"/>
      <c r="O30" s="59">
        <v>25</v>
      </c>
      <c r="P30" s="59">
        <v>33</v>
      </c>
      <c r="Q30" s="59">
        <v>82</v>
      </c>
      <c r="R30" s="59">
        <v>30</v>
      </c>
      <c r="S30" s="59">
        <v>1022</v>
      </c>
      <c r="T30" s="60">
        <f t="shared" si="13"/>
        <v>12550</v>
      </c>
      <c r="U30" s="60"/>
      <c r="X30">
        <f t="shared" si="10"/>
        <v>1</v>
      </c>
      <c r="Y30" s="2">
        <v>0.1</v>
      </c>
      <c r="Z30" s="2">
        <f>IF(K30&gt;0,F30/K30/X30*Conversion!$E$18,0)*Y30</f>
        <v>1083.0249146719741</v>
      </c>
      <c r="AA30" s="2">
        <f>IF(L30&gt;0,G30/L30/X30*Conversion!$E$18,0)*Y30</f>
        <v>0</v>
      </c>
      <c r="AB30" s="2">
        <f t="shared" si="11"/>
        <v>1083.0249146719741</v>
      </c>
      <c r="AC30" s="2">
        <f>(F30*T30)/365.26/Agriculture!$D$2</f>
        <v>37.862952488687803</v>
      </c>
      <c r="AD30" s="3">
        <f>SUM(Z30:AA30)*Conversion!$F$19</f>
        <v>0.26762628666459148</v>
      </c>
      <c r="AE30">
        <f t="shared" si="14"/>
        <v>14.8</v>
      </c>
      <c r="AF30" s="3">
        <f t="shared" si="8"/>
        <v>3.9608690426359541</v>
      </c>
      <c r="AG30">
        <f t="shared" si="5"/>
        <v>0</v>
      </c>
    </row>
    <row r="31" spans="1:33" ht="18">
      <c r="A31" t="s">
        <v>355</v>
      </c>
      <c r="B31">
        <v>3</v>
      </c>
      <c r="C31">
        <v>0.2</v>
      </c>
      <c r="D31">
        <f t="shared" si="12"/>
        <v>1.1019778506787337</v>
      </c>
      <c r="F31" s="2">
        <f>IF(D31&gt;0,D31*Agriculture!$D$2+Agriculture!$E$16*E31,IF(E31&gt;0,0,Agriculture!$D$2*0.025))</f>
        <v>2203.9557013574672</v>
      </c>
      <c r="G31" s="2">
        <f>L31*1/Agriculture!$C$49*Agriculture!$E$16</f>
        <v>49436.543897552016</v>
      </c>
      <c r="H31" t="s">
        <v>395</v>
      </c>
      <c r="I31">
        <v>953</v>
      </c>
      <c r="K31" s="48">
        <f>IF(I31&gt;0,I31,J31/2000*Conversion!$D$23)</f>
        <v>953</v>
      </c>
      <c r="L31">
        <f>I31</f>
        <v>953</v>
      </c>
      <c r="O31" s="59">
        <v>11.02</v>
      </c>
      <c r="P31" s="59">
        <v>4.22</v>
      </c>
      <c r="Q31" s="59">
        <v>50.57</v>
      </c>
      <c r="R31" s="59">
        <v>72.849999999999994</v>
      </c>
      <c r="S31" s="59">
        <v>345</v>
      </c>
      <c r="T31" s="60">
        <f t="shared" si="13"/>
        <v>8285.9</v>
      </c>
      <c r="U31" s="60"/>
      <c r="X31">
        <f t="shared" si="10"/>
        <v>1</v>
      </c>
      <c r="Y31" s="2">
        <v>0.1</v>
      </c>
      <c r="Z31" s="2">
        <f>IF(K31&gt;0,F31/K31/X31*Conversion!$E$18,0)*Y31</f>
        <v>2312.6502637539006</v>
      </c>
      <c r="AA31" s="2">
        <f>IF(L31&gt;0,G31/L31/X31*Conversion!$E$18,0)*Y31</f>
        <v>51874.652568260244</v>
      </c>
      <c r="AB31" s="2">
        <f t="shared" si="11"/>
        <v>54187.302832014146</v>
      </c>
      <c r="AC31" s="2">
        <f>(F31*T31)/365.26/Agriculture!$D$2</f>
        <v>24.998297850678743</v>
      </c>
      <c r="AD31" s="3">
        <f>SUM(Z31:AA31)*Conversion!$F$19</f>
        <v>13.390224402819015</v>
      </c>
      <c r="AE31">
        <f t="shared" si="14"/>
        <v>14.8</v>
      </c>
      <c r="AF31" s="3">
        <f t="shared" si="8"/>
        <v>198.17532116172143</v>
      </c>
      <c r="AG31">
        <f t="shared" si="5"/>
        <v>0</v>
      </c>
    </row>
    <row r="32" spans="1:33" ht="18">
      <c r="A32" t="s">
        <v>357</v>
      </c>
      <c r="B32">
        <v>3</v>
      </c>
      <c r="C32">
        <v>2</v>
      </c>
      <c r="D32">
        <f t="shared" si="12"/>
        <v>11.019778506787334</v>
      </c>
      <c r="F32" s="2">
        <f>IF(D32&gt;0,D32*Agriculture!$D$2+Agriculture!$E$16*E32,IF(E32&gt;0,0,Agriculture!$D$2*0.025))</f>
        <v>22039.557013574668</v>
      </c>
      <c r="G32" s="2">
        <f>L32*1/Agriculture!$C$49*Agriculture!$E$16</f>
        <v>0</v>
      </c>
      <c r="H32" t="s">
        <v>395</v>
      </c>
      <c r="I32">
        <v>2000</v>
      </c>
      <c r="K32" s="48">
        <f>IF(I32&gt;0,I32,J32/2000*Conversion!$D$23)</f>
        <v>2000</v>
      </c>
      <c r="N32">
        <v>1</v>
      </c>
      <c r="O32" s="59">
        <v>0</v>
      </c>
      <c r="P32" s="59">
        <v>100</v>
      </c>
      <c r="Q32" s="59">
        <v>8</v>
      </c>
      <c r="R32" s="59">
        <v>0</v>
      </c>
      <c r="S32" s="59">
        <v>1760</v>
      </c>
      <c r="T32" s="60">
        <f t="shared" si="13"/>
        <v>9720</v>
      </c>
      <c r="U32" s="60"/>
      <c r="X32">
        <f t="shared" si="10"/>
        <v>1</v>
      </c>
      <c r="Y32" s="2">
        <v>1</v>
      </c>
      <c r="Z32" s="2">
        <f>IF(K32&gt;0,F32/K32/X32*Conversion!$E$18,0)*Y32</f>
        <v>110197.78506787334</v>
      </c>
      <c r="AA32" s="2">
        <f>IF(L32&gt;0,G32/L32/X32*Conversion!$E$18,0)*Y32</f>
        <v>0</v>
      </c>
      <c r="AB32" s="2">
        <f t="shared" si="11"/>
        <v>110197.78506787334</v>
      </c>
      <c r="AC32" s="2">
        <f>(F32*T32)/365.26/Agriculture!$D$2</f>
        <v>293.24932126696842</v>
      </c>
      <c r="AD32" s="3">
        <f>SUM(Z32:AA32)*Conversion!$F$19</f>
        <v>27.23097466812218</v>
      </c>
      <c r="AE32">
        <f t="shared" si="14"/>
        <v>14.8</v>
      </c>
      <c r="AF32" s="3">
        <f t="shared" si="8"/>
        <v>403.01842508820829</v>
      </c>
      <c r="AG32">
        <f t="shared" si="5"/>
        <v>0</v>
      </c>
    </row>
    <row r="33" spans="1:33" ht="18">
      <c r="A33" t="s">
        <v>407</v>
      </c>
      <c r="B33">
        <v>3</v>
      </c>
      <c r="C33">
        <v>0</v>
      </c>
      <c r="D33">
        <f t="shared" si="12"/>
        <v>0</v>
      </c>
      <c r="F33" s="2">
        <f>IF(D33&gt;0,D33*Agriculture!$D$2+Agriculture!$E$16*E33,IF(E33&gt;0,0,Agriculture!$D$2*0.025))</f>
        <v>50</v>
      </c>
      <c r="G33" s="2">
        <f>L33*1/Agriculture!$C$49*Agriculture!$E$16</f>
        <v>0</v>
      </c>
      <c r="J33">
        <v>4320</v>
      </c>
      <c r="K33" s="48">
        <f>IF(I33&gt;0,I33,J33/2000*Conversion!$D$23)</f>
        <v>4842.0769896000002</v>
      </c>
      <c r="N33">
        <v>1</v>
      </c>
      <c r="O33" s="59"/>
      <c r="P33" s="59"/>
      <c r="Q33" s="59"/>
      <c r="R33" s="59"/>
      <c r="S33" s="59"/>
      <c r="T33" s="60">
        <f t="shared" si="13"/>
        <v>0</v>
      </c>
      <c r="U33" s="60"/>
      <c r="X33">
        <f t="shared" si="10"/>
        <v>1</v>
      </c>
      <c r="Y33" s="2">
        <v>1</v>
      </c>
      <c r="Z33" s="2">
        <f>IF(K33&gt;0,F33/K33/X33*Conversion!$E$18,0)*Y33</f>
        <v>103.26147251973055</v>
      </c>
      <c r="AA33" s="2">
        <f>IF(L33&gt;0,G33/L33/X33*Conversion!$E$18,0)*Y33</f>
        <v>0</v>
      </c>
      <c r="AB33" s="2">
        <f t="shared" si="11"/>
        <v>103.26147251973055</v>
      </c>
      <c r="AC33" s="2">
        <f>(F33*T33)/365.26/Agriculture!$D$2</f>
        <v>0</v>
      </c>
      <c r="AD33" s="3">
        <f>SUM(Z33:AA33)*Conversion!$F$19</f>
        <v>2.5516942474350615E-2</v>
      </c>
      <c r="AE33">
        <f t="shared" si="14"/>
        <v>14.8</v>
      </c>
      <c r="AF33" s="3">
        <f t="shared" si="8"/>
        <v>0.37765074862038911</v>
      </c>
      <c r="AG33">
        <f t="shared" si="5"/>
        <v>0</v>
      </c>
    </row>
    <row r="34" spans="1:33" ht="18">
      <c r="A34" t="s">
        <v>359</v>
      </c>
      <c r="B34">
        <v>3</v>
      </c>
      <c r="C34">
        <v>0</v>
      </c>
      <c r="D34">
        <f t="shared" si="12"/>
        <v>0</v>
      </c>
      <c r="F34" s="2">
        <f>IF(D34&gt;0,D34*Agriculture!$D$2+Agriculture!$E$16*E34,IF(E34&gt;0,0,Agriculture!$D$2*0.025))</f>
        <v>50</v>
      </c>
      <c r="G34" s="2">
        <f>L34*1/Agriculture!$C$49*Agriculture!$E$16</f>
        <v>0</v>
      </c>
      <c r="H34" t="s">
        <v>395</v>
      </c>
      <c r="I34">
        <v>291</v>
      </c>
      <c r="K34" s="48">
        <f>IF(I34&gt;0,I34,J34/2000*Conversion!$D$23)</f>
        <v>291</v>
      </c>
      <c r="N34">
        <v>1</v>
      </c>
      <c r="O34" s="59"/>
      <c r="P34" s="59">
        <v>100</v>
      </c>
      <c r="Q34" s="59">
        <v>2.2999999999999998</v>
      </c>
      <c r="R34" s="59"/>
      <c r="S34" s="59">
        <v>256</v>
      </c>
      <c r="T34" s="60">
        <f t="shared" si="13"/>
        <v>9207</v>
      </c>
      <c r="U34" s="60">
        <v>20</v>
      </c>
      <c r="X34">
        <f t="shared" si="10"/>
        <v>1</v>
      </c>
      <c r="Y34" s="2">
        <v>1</v>
      </c>
      <c r="Z34" s="2">
        <f>IF(K34&gt;0,F34/K34/X34*Conversion!$E$18,0)*Y34</f>
        <v>1718.2130584192439</v>
      </c>
      <c r="AA34" s="2">
        <f>IF(L34&gt;0,G34/L34/X34*Conversion!$E$18,0)*Y34</f>
        <v>0</v>
      </c>
      <c r="AB34" s="2">
        <f t="shared" si="11"/>
        <v>1718.2130584192439</v>
      </c>
      <c r="AC34" s="2">
        <f>(F34*T34)/365.26/Agriculture!$D$2</f>
        <v>0.63016755188085194</v>
      </c>
      <c r="AD34" s="3">
        <f>SUM(Z34:AA34)*Conversion!$F$19</f>
        <v>0.42458762886597934</v>
      </c>
      <c r="AE34">
        <f t="shared" si="14"/>
        <v>14.8</v>
      </c>
      <c r="AF34" s="3">
        <f t="shared" si="8"/>
        <v>6.2838969072164943</v>
      </c>
      <c r="AG34">
        <f t="shared" si="5"/>
        <v>1718.2130584192439</v>
      </c>
    </row>
    <row r="35" spans="1:33" ht="18">
      <c r="A35" t="s">
        <v>358</v>
      </c>
      <c r="B35">
        <v>3</v>
      </c>
      <c r="C35">
        <v>0</v>
      </c>
      <c r="D35">
        <f t="shared" si="12"/>
        <v>0</v>
      </c>
      <c r="F35" s="2">
        <f>IF(D35&gt;0,D35*Agriculture!$D$2+Agriculture!$E$16*E35,IF(E35&gt;0,0,Agriculture!$D$2*0.025))</f>
        <v>50</v>
      </c>
      <c r="G35" s="2">
        <f>L35*1/Agriculture!$C$49*Agriculture!$E$16</f>
        <v>0</v>
      </c>
      <c r="H35" t="s">
        <v>395</v>
      </c>
      <c r="I35">
        <v>4000</v>
      </c>
      <c r="K35" s="48">
        <f>IF(I35&gt;0,I35,J35/2000*Conversion!$D$23)</f>
        <v>4000</v>
      </c>
      <c r="N35">
        <v>1</v>
      </c>
      <c r="O35" s="59">
        <v>0</v>
      </c>
      <c r="P35" s="59">
        <v>100</v>
      </c>
      <c r="Q35" s="59">
        <v>10.8</v>
      </c>
      <c r="R35" s="59">
        <v>0</v>
      </c>
      <c r="S35" s="59">
        <v>3520</v>
      </c>
      <c r="T35" s="60">
        <f t="shared" si="13"/>
        <v>9972</v>
      </c>
      <c r="U35" s="60">
        <v>20</v>
      </c>
      <c r="X35">
        <f t="shared" si="10"/>
        <v>1</v>
      </c>
      <c r="Y35" s="2">
        <v>1</v>
      </c>
      <c r="Z35" s="2">
        <f>IF(K35&gt;0,F35/K35/X35*Conversion!$E$18,0)*Y35</f>
        <v>125</v>
      </c>
      <c r="AA35" s="2">
        <f>IF(L35&gt;0,G35/L35/X35*Conversion!$E$18,0)*Y35</f>
        <v>0</v>
      </c>
      <c r="AB35" s="2">
        <f t="shared" si="11"/>
        <v>125</v>
      </c>
      <c r="AC35" s="2">
        <f>(F35*T35)/365.26/Agriculture!$D$2</f>
        <v>0.68252751464710071</v>
      </c>
      <c r="AD35" s="3">
        <f>SUM(Z35:AA35)*Conversion!$F$19</f>
        <v>3.088875E-2</v>
      </c>
      <c r="AE35">
        <f t="shared" si="14"/>
        <v>14.8</v>
      </c>
      <c r="AF35" s="3">
        <f t="shared" si="8"/>
        <v>0.45715349999999999</v>
      </c>
      <c r="AG35">
        <f t="shared" si="5"/>
        <v>125</v>
      </c>
    </row>
    <row r="36" spans="1:33" ht="18">
      <c r="A36" t="s">
        <v>398</v>
      </c>
      <c r="B36">
        <v>3</v>
      </c>
      <c r="C36">
        <v>0.1</v>
      </c>
      <c r="D36">
        <f t="shared" si="12"/>
        <v>0.55098892533936683</v>
      </c>
      <c r="F36" s="2">
        <f>IF(D36&gt;0,D36*Agriculture!$D$2+Agriculture!$E$16*E36,IF(E36&gt;0,0,Agriculture!$D$2*0.025))</f>
        <v>1101.9778506787336</v>
      </c>
      <c r="G36" s="2">
        <f>L36*1/Agriculture!$C$49*Agriculture!$E$16</f>
        <v>0</v>
      </c>
      <c r="J36">
        <v>962</v>
      </c>
      <c r="K36" s="48">
        <f>IF(I36&gt;0,I36,J36/2000*Conversion!$D$23)</f>
        <v>1078.2588111100001</v>
      </c>
      <c r="N36">
        <v>1</v>
      </c>
      <c r="O36" s="59"/>
      <c r="P36" s="59"/>
      <c r="Q36" s="59"/>
      <c r="R36" s="59"/>
      <c r="S36" s="59"/>
      <c r="T36" s="60">
        <f t="shared" si="13"/>
        <v>0</v>
      </c>
      <c r="U36" s="60"/>
      <c r="X36">
        <f t="shared" si="10"/>
        <v>1</v>
      </c>
      <c r="Y36" s="2">
        <v>1</v>
      </c>
      <c r="Z36" s="2">
        <f>IF(K36&gt;0,F36/K36/X36*Conversion!$E$18,0)*Y36</f>
        <v>10219.975383686558</v>
      </c>
      <c r="AA36" s="2">
        <f>IF(L36&gt;0,G36/L36/X36*Conversion!$E$18,0)*Y36</f>
        <v>0</v>
      </c>
      <c r="AB36" s="2">
        <f t="shared" si="11"/>
        <v>10219.975383686558</v>
      </c>
      <c r="AC36" s="2">
        <f>(F36*T36)/365.26/Agriculture!$D$2</f>
        <v>0</v>
      </c>
      <c r="AD36" s="3">
        <f>SUM(Z36:AA36)*Conversion!$F$19</f>
        <v>2.5254581170627852</v>
      </c>
      <c r="AE36">
        <f t="shared" si="14"/>
        <v>14.8</v>
      </c>
      <c r="AF36" s="3">
        <f t="shared" si="8"/>
        <v>37.37678013252922</v>
      </c>
      <c r="AG36">
        <f t="shared" si="5"/>
        <v>0</v>
      </c>
    </row>
    <row r="37" spans="1:33" ht="18">
      <c r="A37" t="s">
        <v>399</v>
      </c>
      <c r="B37">
        <v>3</v>
      </c>
      <c r="C37">
        <v>0.1</v>
      </c>
      <c r="D37">
        <f t="shared" si="12"/>
        <v>0.55098892533936683</v>
      </c>
      <c r="F37" s="2">
        <f>IF(D37&gt;0,D37*Agriculture!$D$2+Agriculture!$E$16*E37,IF(E37&gt;0,0,Agriculture!$D$2*0.025))</f>
        <v>1101.9778506787336</v>
      </c>
      <c r="G37" s="2">
        <f>L37*1/Agriculture!$C$49*Agriculture!$E$16</f>
        <v>0</v>
      </c>
      <c r="J37">
        <v>1490</v>
      </c>
      <c r="K37" s="48">
        <f>IF(I37&gt;0,I37,J37/2000*Conversion!$D$23)</f>
        <v>1670.0682209500001</v>
      </c>
      <c r="N37">
        <v>1</v>
      </c>
      <c r="O37" s="59"/>
      <c r="P37" s="59"/>
      <c r="Q37" s="59"/>
      <c r="R37" s="59"/>
      <c r="S37" s="59"/>
      <c r="T37" s="60">
        <f t="shared" si="13"/>
        <v>0</v>
      </c>
      <c r="U37" s="60"/>
      <c r="X37">
        <f t="shared" si="10"/>
        <v>1</v>
      </c>
      <c r="Y37" s="2">
        <v>1</v>
      </c>
      <c r="Z37" s="2">
        <f>IF(K37&gt;0,F37/K37/X37*Conversion!$E$18,0)*Y37</f>
        <v>6598.4002141654164</v>
      </c>
      <c r="AA37" s="2">
        <f>IF(L37&gt;0,G37/L37/X37*Conversion!$E$18,0)*Y37</f>
        <v>0</v>
      </c>
      <c r="AB37" s="2">
        <f t="shared" si="11"/>
        <v>6598.4002141654164</v>
      </c>
      <c r="AC37" s="2">
        <f>(F37*T37)/365.26/Agriculture!$D$2</f>
        <v>0</v>
      </c>
      <c r="AD37" s="3">
        <f>SUM(Z37:AA37)*Conversion!$F$19</f>
        <v>1.6305306769224159</v>
      </c>
      <c r="AE37">
        <f t="shared" si="14"/>
        <v>14.8</v>
      </c>
      <c r="AF37" s="3">
        <f t="shared" si="8"/>
        <v>24.131854018451758</v>
      </c>
      <c r="AG37">
        <f t="shared" ref="AG37:AG68" si="15">IF(U37&gt;2,SUM(Z37:AA37),0)</f>
        <v>0</v>
      </c>
    </row>
    <row r="38" spans="1:33" ht="18">
      <c r="A38" t="s">
        <v>379</v>
      </c>
      <c r="B38">
        <v>3</v>
      </c>
      <c r="C38">
        <v>0.1</v>
      </c>
      <c r="D38">
        <f t="shared" si="12"/>
        <v>0.55098892533936683</v>
      </c>
      <c r="F38" s="2">
        <f>IF(D38&gt;0,D38*Agriculture!$D$2+Agriculture!$E$16*E38,IF(E38&gt;0,0,Agriculture!$D$2*0.025))</f>
        <v>1101.9778506787336</v>
      </c>
      <c r="G38" s="2">
        <f>L38*1/Agriculture!$C$49*Agriculture!$E$16</f>
        <v>0</v>
      </c>
      <c r="I38">
        <v>924</v>
      </c>
      <c r="K38" s="48">
        <f>IF(I38&gt;0,I38,J38/2000*Conversion!$D$23)</f>
        <v>924</v>
      </c>
      <c r="M38">
        <v>150</v>
      </c>
      <c r="O38" s="59">
        <v>30.23</v>
      </c>
      <c r="P38" s="59">
        <v>49</v>
      </c>
      <c r="Q38" s="59">
        <v>42</v>
      </c>
      <c r="R38" s="59">
        <v>11</v>
      </c>
      <c r="S38" s="59">
        <v>543</v>
      </c>
      <c r="T38" s="60">
        <f t="shared" si="13"/>
        <v>9839.2000000000007</v>
      </c>
      <c r="U38" s="60"/>
      <c r="X38">
        <f t="shared" si="10"/>
        <v>2.4000000000000004</v>
      </c>
      <c r="Y38" s="2">
        <v>0.1</v>
      </c>
      <c r="Z38" s="2">
        <f>IF(K38&gt;0,F38/K38/X38*Conversion!$E$18,0)*Y38</f>
        <v>496.92363396407541</v>
      </c>
      <c r="AA38" s="2">
        <f>IF(L38&gt;0,G38/L38/X38*Conversion!$E$18,0)*Y38</f>
        <v>0</v>
      </c>
      <c r="AB38" s="2">
        <f t="shared" si="11"/>
        <v>496.92363396407541</v>
      </c>
      <c r="AC38" s="2">
        <f>(F38*T38)/365.26/Agriculture!$D$2</f>
        <v>14.842277375565621</v>
      </c>
      <c r="AD38" s="3">
        <f>SUM(Z38:AA38)*Conversion!$F$19</f>
        <v>0.12279479918886267</v>
      </c>
      <c r="AE38">
        <f t="shared" si="14"/>
        <v>14.8</v>
      </c>
      <c r="AF38" s="3">
        <f t="shared" si="8"/>
        <v>4.3616712671884024</v>
      </c>
      <c r="AG38">
        <f t="shared" si="15"/>
        <v>0</v>
      </c>
    </row>
    <row r="39" spans="1:33" ht="18">
      <c r="A39" t="s">
        <v>363</v>
      </c>
      <c r="B39">
        <v>3</v>
      </c>
      <c r="C39">
        <v>0.2</v>
      </c>
      <c r="D39">
        <f t="shared" si="12"/>
        <v>1.1019778506787337</v>
      </c>
      <c r="F39" s="2">
        <f>IF(D39&gt;0,D39*Agriculture!$D$2+Agriculture!$E$16*E39,IF(E39&gt;0,0,Agriculture!$D$2*0.025))</f>
        <v>2203.9557013574672</v>
      </c>
      <c r="G39" s="2">
        <f>L39*1/Agriculture!$C$49*Agriculture!$E$16</f>
        <v>495143.55876404408</v>
      </c>
      <c r="H39" t="s">
        <v>395</v>
      </c>
      <c r="I39">
        <v>1909</v>
      </c>
      <c r="K39" s="48">
        <f>IF(I39&gt;0,I39,J39/2000*Conversion!$D$23)</f>
        <v>1909</v>
      </c>
      <c r="L39">
        <f>I39*5</f>
        <v>9545</v>
      </c>
      <c r="O39" s="59">
        <v>0</v>
      </c>
      <c r="P39" s="59">
        <v>44</v>
      </c>
      <c r="Q39" s="59">
        <v>0</v>
      </c>
      <c r="R39" s="59">
        <v>0</v>
      </c>
      <c r="S39" s="59">
        <v>739</v>
      </c>
      <c r="T39" s="60">
        <f t="shared" si="13"/>
        <v>3960</v>
      </c>
      <c r="U39" s="60"/>
      <c r="X39">
        <f t="shared" si="10"/>
        <v>1</v>
      </c>
      <c r="Y39" s="2">
        <v>0.1</v>
      </c>
      <c r="Z39" s="2">
        <f>IF(K39&gt;0,F39/K39/X39*Conversion!$E$18,0)*Y39</f>
        <v>1154.5079629950064</v>
      </c>
      <c r="AA39" s="2">
        <f>IF(L39&gt;0,G39/L39/X39*Conversion!$E$18,0)*Y39</f>
        <v>51874.652568260259</v>
      </c>
      <c r="AB39" s="2">
        <f t="shared" si="11"/>
        <v>53029.160531255264</v>
      </c>
      <c r="AC39" s="2">
        <f>(F39*T39)/365.26/Agriculture!$D$2</f>
        <v>11.947194570135753</v>
      </c>
      <c r="AD39" s="3">
        <f>SUM(Z39:AA39)*Conversion!$F$19</f>
        <v>13.104035858878488</v>
      </c>
      <c r="AE39">
        <f t="shared" si="14"/>
        <v>14.8</v>
      </c>
      <c r="AF39" s="3">
        <f t="shared" si="8"/>
        <v>193.93973071140164</v>
      </c>
      <c r="AG39">
        <f t="shared" si="15"/>
        <v>0</v>
      </c>
    </row>
    <row r="40" spans="1:33" ht="18">
      <c r="A40" t="s">
        <v>367</v>
      </c>
      <c r="B40">
        <v>3</v>
      </c>
      <c r="C40">
        <v>0.2</v>
      </c>
      <c r="D40">
        <f t="shared" si="12"/>
        <v>1.1019778506787337</v>
      </c>
      <c r="F40" s="2">
        <f>IF(D40&gt;0,D40*Agriculture!$D$2+Agriculture!$E$16*E40,IF(E40&gt;0,0,Agriculture!$D$2*0.025))</f>
        <v>2203.9557013574672</v>
      </c>
      <c r="G40" s="2">
        <f>L40*1/Agriculture!$C$49*Agriculture!$E$16</f>
        <v>0</v>
      </c>
      <c r="H40" t="s">
        <v>395</v>
      </c>
      <c r="I40">
        <v>890</v>
      </c>
      <c r="K40" s="48">
        <f>IF(I40&gt;0,I40,J40/2000*Conversion!$D$23)</f>
        <v>890</v>
      </c>
      <c r="O40" s="59">
        <v>16.18</v>
      </c>
      <c r="P40" s="59">
        <v>38.450000000000003</v>
      </c>
      <c r="Q40" s="59">
        <v>73.400000000000006</v>
      </c>
      <c r="R40" s="59">
        <v>34.39</v>
      </c>
      <c r="S40" s="59">
        <v>475</v>
      </c>
      <c r="T40" s="60">
        <f t="shared" si="13"/>
        <v>12089.300000000001</v>
      </c>
      <c r="U40" s="60"/>
      <c r="X40">
        <f t="shared" si="10"/>
        <v>1</v>
      </c>
      <c r="Y40" s="2">
        <v>0.1</v>
      </c>
      <c r="Z40" s="2">
        <f>IF(K40&gt;0,F40/K40/X40*Conversion!$E$18,0)*Y40</f>
        <v>2476.3547206263679</v>
      </c>
      <c r="AA40" s="2">
        <f>IF(L40&gt;0,G40/L40/X40*Conversion!$E$18,0)*Y40</f>
        <v>0</v>
      </c>
      <c r="AB40" s="2">
        <f t="shared" si="11"/>
        <v>2476.3547206263679</v>
      </c>
      <c r="AC40" s="2">
        <f>(F40*T40)/365.26/Agriculture!$D$2</f>
        <v>36.473035180995495</v>
      </c>
      <c r="AD40" s="3">
        <f>SUM(Z40:AA40)*Conversion!$F$19</f>
        <v>0.61193201501398176</v>
      </c>
      <c r="AE40">
        <f t="shared" si="14"/>
        <v>14.8</v>
      </c>
      <c r="AF40" s="3">
        <f t="shared" si="8"/>
        <v>9.0565938222069295</v>
      </c>
      <c r="AG40">
        <f t="shared" si="15"/>
        <v>0</v>
      </c>
    </row>
    <row r="41" spans="1:33" ht="18">
      <c r="A41" t="s">
        <v>368</v>
      </c>
      <c r="B41">
        <v>3</v>
      </c>
      <c r="C41">
        <v>0.1</v>
      </c>
      <c r="D41">
        <f t="shared" si="12"/>
        <v>0.55098892533936683</v>
      </c>
      <c r="F41" s="2">
        <f>IF(D41&gt;0,D41*Agriculture!$D$2+Agriculture!$E$16*E41,IF(E41&gt;0,0,Agriculture!$D$2*0.025))</f>
        <v>1101.9778506787336</v>
      </c>
      <c r="G41" s="2">
        <f>L41*1/Agriculture!$C$49*Agriculture!$E$16</f>
        <v>0</v>
      </c>
      <c r="H41" t="s">
        <v>395</v>
      </c>
      <c r="I41">
        <v>478</v>
      </c>
      <c r="K41" s="48">
        <f>IF(I41&gt;0,I41,J41/2000*Conversion!$D$23)</f>
        <v>478</v>
      </c>
      <c r="O41" s="59">
        <v>17.73</v>
      </c>
      <c r="P41" s="59">
        <v>49.67</v>
      </c>
      <c r="Q41" s="59">
        <v>44</v>
      </c>
      <c r="R41" s="59">
        <v>23.45</v>
      </c>
      <c r="S41" s="59">
        <v>285</v>
      </c>
      <c r="T41" s="60">
        <f t="shared" si="13"/>
        <v>10077.5</v>
      </c>
      <c r="U41" s="60"/>
      <c r="X41">
        <f t="shared" si="10"/>
        <v>1</v>
      </c>
      <c r="Y41" s="2">
        <v>0.1</v>
      </c>
      <c r="Z41" s="2">
        <f>IF(K41&gt;0,F41/K41/X41*Conversion!$E$18,0)*Y41</f>
        <v>2305.3929930517438</v>
      </c>
      <c r="AA41" s="2">
        <f>IF(L41&gt;0,G41/L41/X41*Conversion!$E$18,0)*Y41</f>
        <v>0</v>
      </c>
      <c r="AB41" s="2">
        <f t="shared" si="11"/>
        <v>2305.3929930517438</v>
      </c>
      <c r="AC41" s="2">
        <f>(F41*T41)/365.26/Agriculture!$D$2</f>
        <v>15.201749151583718</v>
      </c>
      <c r="AD41" s="3">
        <f>SUM(Z41:AA41)*Conversion!$F$19</f>
        <v>0.56968566251301633</v>
      </c>
      <c r="AE41">
        <f t="shared" si="14"/>
        <v>14.8</v>
      </c>
      <c r="AF41" s="3">
        <f t="shared" si="8"/>
        <v>8.431347805192642</v>
      </c>
      <c r="AG41">
        <f t="shared" si="15"/>
        <v>0</v>
      </c>
    </row>
    <row r="42" spans="1:33" ht="18">
      <c r="A42" t="s">
        <v>372</v>
      </c>
      <c r="B42">
        <v>3</v>
      </c>
      <c r="C42">
        <v>0.1</v>
      </c>
      <c r="D42">
        <f t="shared" si="12"/>
        <v>0.55098892533936683</v>
      </c>
      <c r="F42" s="2">
        <f>IF(D42&gt;0,D42*Agriculture!$D$2+Agriculture!$E$16*E42,IF(E42&gt;0,0,Agriculture!$D$2*0.025))</f>
        <v>1101.9778506787336</v>
      </c>
      <c r="G42" s="2">
        <f>L42*1/Agriculture!$C$49*Agriculture!$E$16</f>
        <v>0</v>
      </c>
      <c r="H42" t="s">
        <v>395</v>
      </c>
      <c r="I42">
        <v>1424</v>
      </c>
      <c r="K42" s="48">
        <f>IF(I42&gt;0,I42,J42/2000*Conversion!$D$23)</f>
        <v>1424</v>
      </c>
      <c r="O42" s="59">
        <v>20.78</v>
      </c>
      <c r="P42" s="59">
        <v>51.64</v>
      </c>
      <c r="Q42" s="59">
        <v>45</v>
      </c>
      <c r="R42" s="59">
        <v>20</v>
      </c>
      <c r="S42" s="59">
        <v>868</v>
      </c>
      <c r="T42" s="60">
        <f t="shared" si="13"/>
        <v>10328.800000000001</v>
      </c>
      <c r="U42" s="60"/>
      <c r="X42">
        <f t="shared" si="10"/>
        <v>1</v>
      </c>
      <c r="Y42" s="2">
        <v>0.1</v>
      </c>
      <c r="Z42" s="2">
        <f>IF(K42&gt;0,F42/K42/X42*Conversion!$E$18,0)*Y42</f>
        <v>773.86085019574</v>
      </c>
      <c r="AA42" s="2">
        <f>IF(L42&gt;0,G42/L42/X42*Conversion!$E$18,0)*Y42</f>
        <v>0</v>
      </c>
      <c r="AB42" s="2">
        <f t="shared" si="11"/>
        <v>773.86085019574</v>
      </c>
      <c r="AC42" s="2">
        <f>(F42*T42)/365.26/Agriculture!$D$2</f>
        <v>15.580831221719468</v>
      </c>
      <c r="AD42" s="3">
        <f>SUM(Z42:AA42)*Conversion!$F$19</f>
        <v>0.19122875469186928</v>
      </c>
      <c r="AE42">
        <f t="shared" si="14"/>
        <v>14.8</v>
      </c>
      <c r="AF42" s="3">
        <f t="shared" si="8"/>
        <v>2.8301855694396654</v>
      </c>
      <c r="AG42">
        <f t="shared" si="15"/>
        <v>0</v>
      </c>
    </row>
    <row r="43" spans="1:33" ht="18">
      <c r="A43" t="s">
        <v>400</v>
      </c>
      <c r="B43">
        <v>3</v>
      </c>
      <c r="C43">
        <v>0.1</v>
      </c>
      <c r="D43">
        <f>$D$20*C43/$C$20</f>
        <v>0.55098892533936683</v>
      </c>
      <c r="F43" s="2">
        <f>IF(D43&gt;0,D43*Agriculture!$D$2+Agriculture!$E$16*E43,IF(E43&gt;0,0,Agriculture!$D$2*0.025))</f>
        <v>1101.9778506787336</v>
      </c>
      <c r="G43" s="2">
        <f>L43*1/Agriculture!$C$49*Agriculture!$E$16</f>
        <v>0</v>
      </c>
      <c r="J43">
        <v>2760</v>
      </c>
      <c r="K43" s="48">
        <f>IF(I43&gt;0,I43,J43/2000*Conversion!$D$23)</f>
        <v>3093.5491877999998</v>
      </c>
      <c r="T43" s="60">
        <f t="shared" si="13"/>
        <v>0</v>
      </c>
      <c r="U43" s="60">
        <v>15</v>
      </c>
      <c r="X43">
        <f t="shared" si="10"/>
        <v>1</v>
      </c>
      <c r="Y43" s="2">
        <v>1</v>
      </c>
      <c r="Z43" s="2">
        <f>IF(K43&gt;0,F43/K43/X43*Conversion!$E$18,0)*Y43</f>
        <v>3562.179825763214</v>
      </c>
      <c r="AA43" s="2">
        <f>IF(L43&gt;0,G43/L43/X43*Conversion!$E$18,0)*Y43</f>
        <v>0</v>
      </c>
      <c r="AB43" s="2">
        <f t="shared" si="11"/>
        <v>3562.179825763214</v>
      </c>
      <c r="AC43" s="2">
        <f>(F43*T43)/365.26/Agriculture!$D$2</f>
        <v>0</v>
      </c>
      <c r="AD43" s="3">
        <f>SUM(Z43:AA43)*Conversion!$F$19</f>
        <v>0.88025025674434776</v>
      </c>
      <c r="AE43">
        <f t="shared" si="14"/>
        <v>14.8</v>
      </c>
      <c r="AF43" s="3">
        <f t="shared" si="8"/>
        <v>13.027703799816347</v>
      </c>
      <c r="AG43">
        <f t="shared" si="15"/>
        <v>3562.179825763214</v>
      </c>
    </row>
    <row r="44" spans="1:33" ht="18">
      <c r="F44" s="2"/>
      <c r="G44" s="2"/>
      <c r="K44" s="48"/>
      <c r="T44" s="60"/>
      <c r="U44" s="60"/>
      <c r="Y44" s="2">
        <v>0.1</v>
      </c>
      <c r="Z44" s="2"/>
      <c r="AA44" s="2"/>
      <c r="AB44" s="2"/>
      <c r="AC44" s="2"/>
      <c r="AD44" s="3">
        <f>SUM(Z44:AA44)*Conversion!$F$19</f>
        <v>0</v>
      </c>
      <c r="AE44">
        <f t="shared" si="14"/>
        <v>14.8</v>
      </c>
      <c r="AF44" s="3">
        <f t="shared" si="8"/>
        <v>0</v>
      </c>
      <c r="AG44">
        <f t="shared" si="15"/>
        <v>0</v>
      </c>
    </row>
    <row r="45" spans="1:33" ht="18">
      <c r="A45" t="str">
        <f>Agriculture!B29</f>
        <v>Fruits &amp; Vegetables</v>
      </c>
      <c r="B45">
        <f>COUNT(B46:B81)</f>
        <v>36</v>
      </c>
      <c r="C45">
        <f>SUM(C46:C81)</f>
        <v>35.400000000000006</v>
      </c>
      <c r="D45">
        <f>Agriculture!G29</f>
        <v>140.84938245614035</v>
      </c>
      <c r="F45" s="2"/>
      <c r="G45" s="2"/>
      <c r="K45" s="48"/>
      <c r="T45" s="60"/>
      <c r="U45" s="60"/>
      <c r="Y45" s="2">
        <v>0.1</v>
      </c>
      <c r="Z45" s="2"/>
      <c r="AA45" s="2"/>
      <c r="AB45" s="2"/>
      <c r="AC45" s="2"/>
      <c r="AD45" s="3">
        <f>SUM(Z45:AA45)*Conversion!$F$19</f>
        <v>0</v>
      </c>
      <c r="AE45">
        <f t="shared" si="14"/>
        <v>14.8</v>
      </c>
      <c r="AF45" s="3">
        <f t="shared" si="8"/>
        <v>0</v>
      </c>
      <c r="AG45">
        <f t="shared" si="15"/>
        <v>0</v>
      </c>
    </row>
    <row r="46" spans="1:33" ht="18">
      <c r="A46" t="s">
        <v>95</v>
      </c>
      <c r="B46">
        <v>6</v>
      </c>
      <c r="C46">
        <v>1</v>
      </c>
      <c r="D46">
        <f>$D$45*C46/$C$45</f>
        <v>3.9787961145802351</v>
      </c>
      <c r="F46" s="2">
        <f>IF(D46&gt;0,D46*Agriculture!$D$2+Agriculture!$E$16*E46,IF(E46&gt;0,0,Agriculture!$D$2*0.025))</f>
        <v>7957.5922291604702</v>
      </c>
      <c r="G46" s="2">
        <f>L46*1/Agriculture!$C$49*Agriculture!$E$16</f>
        <v>0</v>
      </c>
      <c r="J46">
        <v>25400</v>
      </c>
      <c r="K46" s="48">
        <f>IF(I46&gt;0,I46,J46/2000*Conversion!$D$23)</f>
        <v>28469.619337</v>
      </c>
      <c r="N46">
        <v>1</v>
      </c>
      <c r="R46">
        <v>98</v>
      </c>
      <c r="T46" s="60">
        <f t="shared" ref="T46:T81" si="16">(O46*4+R46*4+P46*9+Q46*9)*10</f>
        <v>3920</v>
      </c>
      <c r="U46" s="60">
        <v>6</v>
      </c>
      <c r="X46">
        <f t="shared" ref="X46:X81" si="17">IF(N46&gt;0,1,IF(M46&gt;0,FLOOR(365.26/M46,0.1),1))</f>
        <v>1</v>
      </c>
      <c r="Y46" s="2">
        <v>1</v>
      </c>
      <c r="Z46" s="2">
        <f>IF(K46&gt;0,F46/K46/X46*Conversion!$E$18,0)*Y46</f>
        <v>2795.1171861362177</v>
      </c>
      <c r="AA46" s="2">
        <f>IF(L46&gt;0,G46/L46/X46*Conversion!$E$18,0)*Y46</f>
        <v>0</v>
      </c>
      <c r="AB46" s="2">
        <f t="shared" ref="AB46:AB81" si="18">(Z46+AA46)*IF(V46&gt;0,V46,1)</f>
        <v>2795.1171861362177</v>
      </c>
      <c r="AC46" s="2">
        <f>(F46*T46)/365.26/Agriculture!$D$2</f>
        <v>42.700763207453655</v>
      </c>
      <c r="AD46" s="3">
        <f>SUM(Z46:AA46)*Conversion!$F$19</f>
        <v>0.69070140786612066</v>
      </c>
      <c r="AE46">
        <f t="shared" si="14"/>
        <v>14.8</v>
      </c>
      <c r="AF46" s="3">
        <f t="shared" ref="AF46:AF77" si="19">X46*AD46*AE46</f>
        <v>10.222380836418587</v>
      </c>
      <c r="AG46">
        <f t="shared" si="15"/>
        <v>2795.1171861362177</v>
      </c>
    </row>
    <row r="47" spans="1:33" ht="18">
      <c r="A47" t="s">
        <v>401</v>
      </c>
      <c r="B47">
        <v>6</v>
      </c>
      <c r="C47">
        <v>1</v>
      </c>
      <c r="D47">
        <f t="shared" ref="D47:D81" si="20">$D$45*C47/$C$45</f>
        <v>3.9787961145802351</v>
      </c>
      <c r="F47" s="2">
        <f>IF(D47&gt;0,D47*Agriculture!$D$2+Agriculture!$E$16*E47,IF(E47&gt;0,0,Agriculture!$D$2*0.025))</f>
        <v>7957.5922291604702</v>
      </c>
      <c r="G47" s="2">
        <f>L47*1/Agriculture!$C$49*Agriculture!$E$16</f>
        <v>0</v>
      </c>
      <c r="J47">
        <v>11260</v>
      </c>
      <c r="K47" s="48">
        <f>IF(I47&gt;0,I47,J47/2000*Conversion!$D$23)</f>
        <v>12620.7840053</v>
      </c>
      <c r="N47">
        <v>1</v>
      </c>
      <c r="R47">
        <v>98</v>
      </c>
      <c r="T47" s="60">
        <f t="shared" si="16"/>
        <v>3920</v>
      </c>
      <c r="U47" s="60">
        <v>6</v>
      </c>
      <c r="X47">
        <f t="shared" si="17"/>
        <v>1</v>
      </c>
      <c r="Y47" s="2">
        <v>1</v>
      </c>
      <c r="Z47" s="2">
        <f>IF(K47&gt;0,F47/K47/X47*Conversion!$E$18,0)*Y47</f>
        <v>6305.1488923499055</v>
      </c>
      <c r="AA47" s="2">
        <f>IF(L47&gt;0,G47/L47/X47*Conversion!$E$18,0)*Y47</f>
        <v>0</v>
      </c>
      <c r="AB47" s="2">
        <f t="shared" si="18"/>
        <v>6305.1488923499055</v>
      </c>
      <c r="AC47" s="2">
        <f>(F47*T47)/365.26/Agriculture!$D$2</f>
        <v>42.700763207453655</v>
      </c>
      <c r="AD47" s="3">
        <f>SUM(Z47:AA47)*Conversion!$F$19</f>
        <v>1.5580653427885851</v>
      </c>
      <c r="AE47">
        <f t="shared" si="14"/>
        <v>14.8</v>
      </c>
      <c r="AF47" s="3">
        <f t="shared" si="19"/>
        <v>23.059367073271062</v>
      </c>
      <c r="AG47">
        <f t="shared" si="15"/>
        <v>6305.1488923499055</v>
      </c>
    </row>
    <row r="48" spans="1:33" ht="18">
      <c r="A48" t="s">
        <v>423</v>
      </c>
      <c r="B48">
        <v>6</v>
      </c>
      <c r="C48">
        <v>0.1</v>
      </c>
      <c r="D48">
        <f t="shared" si="20"/>
        <v>0.39787961145802353</v>
      </c>
      <c r="F48" s="2">
        <f>IF(D48&gt;0,D48*Agriculture!$D$2+Agriculture!$E$16*E48,IF(E48&gt;0,0,Agriculture!$D$2*0.025))</f>
        <v>795.75922291604707</v>
      </c>
      <c r="G48" s="2">
        <f>L48*1/Agriculture!$C$49*Agriculture!$E$16</f>
        <v>0</v>
      </c>
      <c r="J48">
        <v>4400</v>
      </c>
      <c r="K48" s="48">
        <f>IF(I48&gt;0,I48,J48/2000*Conversion!$D$23)</f>
        <v>4931.7450820000004</v>
      </c>
      <c r="N48">
        <v>1</v>
      </c>
      <c r="T48" s="60">
        <f t="shared" si="16"/>
        <v>0</v>
      </c>
      <c r="U48" s="60"/>
      <c r="V48">
        <v>0.31</v>
      </c>
      <c r="X48">
        <f t="shared" si="17"/>
        <v>1</v>
      </c>
      <c r="Y48" s="2">
        <v>0.1</v>
      </c>
      <c r="Z48" s="2">
        <f>IF(K48&gt;0,F48/K48/X48*Conversion!$E$18,0)*Y48</f>
        <v>161.3544921087726</v>
      </c>
      <c r="AA48" s="2">
        <f>IF(L48&gt;0,G48/L48/X48*Conversion!$E$18,0)*Y48</f>
        <v>0</v>
      </c>
      <c r="AB48" s="2">
        <f t="shared" si="18"/>
        <v>50.019892553719508</v>
      </c>
      <c r="AC48" s="2">
        <f>(F48*T48)/365.26/Agriculture!$D$2</f>
        <v>0</v>
      </c>
      <c r="AD48" s="3">
        <f>SUM(Z48:AA48)*Conversion!$F$19</f>
        <v>3.9872308544998798E-2</v>
      </c>
      <c r="AE48">
        <f t="shared" si="14"/>
        <v>14.8</v>
      </c>
      <c r="AF48" s="3">
        <f t="shared" si="19"/>
        <v>0.59011016646598224</v>
      </c>
      <c r="AG48">
        <f t="shared" si="15"/>
        <v>0</v>
      </c>
    </row>
    <row r="49" spans="1:33" ht="18">
      <c r="A49" t="s">
        <v>421</v>
      </c>
      <c r="B49">
        <v>6</v>
      </c>
      <c r="C49">
        <v>0.1</v>
      </c>
      <c r="D49">
        <f t="shared" si="20"/>
        <v>0.39787961145802353</v>
      </c>
      <c r="F49" s="2">
        <f>IF(D49&gt;0,D49*Agriculture!$D$2+Agriculture!$E$16*E49,IF(E49&gt;0,0,Agriculture!$D$2*0.025))</f>
        <v>795.75922291604707</v>
      </c>
      <c r="G49" s="2">
        <f>L49*1/Agriculture!$C$49*Agriculture!$E$16</f>
        <v>0</v>
      </c>
      <c r="J49">
        <v>10800</v>
      </c>
      <c r="K49" s="48">
        <f>IF(I49&gt;0,I49,J49/2000*Conversion!$D$23)</f>
        <v>12105.192474000001</v>
      </c>
      <c r="M49">
        <v>60</v>
      </c>
      <c r="O49" s="59"/>
      <c r="R49" s="59"/>
      <c r="S49" s="59"/>
      <c r="T49" s="60">
        <f t="shared" si="16"/>
        <v>0</v>
      </c>
      <c r="U49" s="60"/>
      <c r="V49">
        <v>0.31</v>
      </c>
      <c r="X49">
        <f t="shared" si="17"/>
        <v>6</v>
      </c>
      <c r="Y49" s="2">
        <v>0.1</v>
      </c>
      <c r="Z49" s="2">
        <f>IF(K49&gt;0,F49/K49/X49*Conversion!$E$18,0)*Y49</f>
        <v>10.956169217262335</v>
      </c>
      <c r="AA49" s="2">
        <f>IF(L49&gt;0,G49/L49/X49*Conversion!$E$18,0)*Y49</f>
        <v>0</v>
      </c>
      <c r="AB49" s="2">
        <f t="shared" si="18"/>
        <v>3.3964124573513241</v>
      </c>
      <c r="AC49" s="2">
        <f>(F49*T49)/365.26/Agriculture!$D$2</f>
        <v>0</v>
      </c>
      <c r="AD49" s="3">
        <f>SUM(Z49:AA49)*Conversion!$F$19</f>
        <v>2.7073789752776953E-3</v>
      </c>
      <c r="AE49">
        <f t="shared" si="14"/>
        <v>14.8</v>
      </c>
      <c r="AF49" s="3">
        <f t="shared" si="19"/>
        <v>0.24041525300465935</v>
      </c>
      <c r="AG49">
        <f t="shared" si="15"/>
        <v>0</v>
      </c>
    </row>
    <row r="50" spans="1:33" ht="18">
      <c r="A50" t="s">
        <v>338</v>
      </c>
      <c r="B50">
        <v>6</v>
      </c>
      <c r="C50">
        <v>2</v>
      </c>
      <c r="D50">
        <f t="shared" si="20"/>
        <v>7.9575922291604702</v>
      </c>
      <c r="F50" s="2">
        <f>IF(D50&gt;0,D50*Agriculture!$D$2+Agriculture!$E$16*E50,IF(E50&gt;0,0,Agriculture!$D$2*0.025))</f>
        <v>15915.18445832094</v>
      </c>
      <c r="G50" s="2">
        <f>L50*1/Agriculture!$C$49*Agriculture!$E$16</f>
        <v>0</v>
      </c>
      <c r="H50" t="s">
        <v>395</v>
      </c>
      <c r="I50">
        <v>16951</v>
      </c>
      <c r="J50">
        <v>7300</v>
      </c>
      <c r="K50" s="48">
        <f>IF(I50&gt;0,I50,J50/2000*Conversion!$D$23)</f>
        <v>16951</v>
      </c>
      <c r="M50">
        <v>150</v>
      </c>
      <c r="O50" s="59">
        <v>2.82</v>
      </c>
      <c r="P50" s="59">
        <v>0.37</v>
      </c>
      <c r="R50" s="59">
        <v>6.64</v>
      </c>
      <c r="S50" s="59">
        <v>675</v>
      </c>
      <c r="T50" s="60">
        <f t="shared" si="16"/>
        <v>411.69999999999993</v>
      </c>
      <c r="U50" s="60"/>
      <c r="V50">
        <v>0.31</v>
      </c>
      <c r="X50">
        <f t="shared" si="17"/>
        <v>2.4000000000000004</v>
      </c>
      <c r="Y50" s="2">
        <v>0.1</v>
      </c>
      <c r="Z50" s="2">
        <f>IF(K50&gt;0,F50/K50/X50*Conversion!$E$18,0)*Y50</f>
        <v>391.20564318528255</v>
      </c>
      <c r="AA50" s="2">
        <f>IF(L50&gt;0,G50/L50/X50*Conversion!$E$18,0)*Y50</f>
        <v>0</v>
      </c>
      <c r="AB50" s="2">
        <f t="shared" si="18"/>
        <v>121.27374938743759</v>
      </c>
      <c r="AC50" s="2">
        <f>(F50*T50)/365.26/Agriculture!$D$2</f>
        <v>8.9693388839329931</v>
      </c>
      <c r="AD50" s="3">
        <f>SUM(Z50:AA50)*Conversion!$F$19</f>
        <v>9.6670826487515168E-2</v>
      </c>
      <c r="AE50">
        <f t="shared" si="14"/>
        <v>14.8</v>
      </c>
      <c r="AF50" s="3">
        <f t="shared" si="19"/>
        <v>3.4337477568365395</v>
      </c>
      <c r="AG50">
        <f t="shared" si="15"/>
        <v>0</v>
      </c>
    </row>
    <row r="51" spans="1:33" ht="18">
      <c r="A51" t="s">
        <v>344</v>
      </c>
      <c r="B51">
        <v>6</v>
      </c>
      <c r="C51">
        <v>1</v>
      </c>
      <c r="D51">
        <f t="shared" si="20"/>
        <v>3.9787961145802351</v>
      </c>
      <c r="F51" s="2">
        <f>IF(D51&gt;0,D51*Agriculture!$D$2+Agriculture!$E$16*E51,IF(E51&gt;0,0,Agriculture!$D$2*0.025))</f>
        <v>7957.5922291604702</v>
      </c>
      <c r="G51" s="2">
        <f>L51*1/Agriculture!$C$49*Agriculture!$E$16</f>
        <v>0</v>
      </c>
      <c r="H51" t="s">
        <v>395</v>
      </c>
      <c r="I51" s="60">
        <v>22422</v>
      </c>
      <c r="J51" s="60">
        <v>13700</v>
      </c>
      <c r="K51" s="48">
        <f>IF(I51&gt;0,I51,J51/2000*Conversion!$D$23)</f>
        <v>22422</v>
      </c>
      <c r="L51" s="60"/>
      <c r="M51" s="60">
        <v>150</v>
      </c>
      <c r="N51" s="60"/>
      <c r="O51" s="59">
        <v>1.28</v>
      </c>
      <c r="P51" s="59">
        <v>0.1</v>
      </c>
      <c r="R51" s="59">
        <v>5.8</v>
      </c>
      <c r="S51" s="59">
        <v>635</v>
      </c>
      <c r="T51" s="60">
        <f t="shared" si="16"/>
        <v>292.2</v>
      </c>
      <c r="U51" s="60"/>
      <c r="V51">
        <v>0.31</v>
      </c>
      <c r="X51">
        <f t="shared" si="17"/>
        <v>2.4000000000000004</v>
      </c>
      <c r="Y51" s="2">
        <v>0.1</v>
      </c>
      <c r="Z51" s="2">
        <f>IF(K51&gt;0,F51/K51/X51*Conversion!$E$18,0)*Y51</f>
        <v>147.87545396560799</v>
      </c>
      <c r="AA51" s="2">
        <f>IF(L51&gt;0,G51/L51/X51*Conversion!$E$18,0)*Y51</f>
        <v>0</v>
      </c>
      <c r="AB51" s="2">
        <f t="shared" si="18"/>
        <v>45.841390729338478</v>
      </c>
      <c r="AC51" s="2">
        <f>(F51*T51)/365.26/Agriculture!$D$2</f>
        <v>3.1829497472494785</v>
      </c>
      <c r="AD51" s="3">
        <f>SUM(Z51:AA51)*Conversion!$F$19</f>
        <v>3.6541503429441388E-2</v>
      </c>
      <c r="AE51">
        <f t="shared" si="14"/>
        <v>14.8</v>
      </c>
      <c r="AF51" s="3">
        <f t="shared" si="19"/>
        <v>1.2979542018137584</v>
      </c>
      <c r="AG51">
        <f t="shared" si="15"/>
        <v>0</v>
      </c>
    </row>
    <row r="52" spans="1:33" ht="18">
      <c r="A52" t="s">
        <v>422</v>
      </c>
      <c r="B52">
        <v>6</v>
      </c>
      <c r="C52">
        <v>1</v>
      </c>
      <c r="D52">
        <f t="shared" si="20"/>
        <v>3.9787961145802351</v>
      </c>
      <c r="F52" s="2">
        <f>IF(D52&gt;0,D52*Agriculture!$D$2+Agriculture!$E$16*E52,IF(E52&gt;0,0,Agriculture!$D$2*0.025))</f>
        <v>7957.5922291604702</v>
      </c>
      <c r="G52" s="2">
        <f>L52*1/Agriculture!$C$49*Agriculture!$E$16</f>
        <v>0</v>
      </c>
      <c r="I52" s="60"/>
      <c r="J52" s="60">
        <v>9800</v>
      </c>
      <c r="K52" s="48">
        <f>IF(I52&gt;0,I52,J52/2000*Conversion!$D$23)</f>
        <v>10984.341319000001</v>
      </c>
      <c r="L52" s="60"/>
      <c r="M52" s="60">
        <v>150</v>
      </c>
      <c r="N52" s="60"/>
      <c r="O52" s="59"/>
      <c r="P52" s="59"/>
      <c r="Q52" s="59"/>
      <c r="R52" s="59"/>
      <c r="S52" s="60"/>
      <c r="T52" s="60">
        <f t="shared" si="16"/>
        <v>0</v>
      </c>
      <c r="U52" s="60"/>
      <c r="V52">
        <v>0.31</v>
      </c>
      <c r="X52">
        <f t="shared" si="17"/>
        <v>2.4000000000000004</v>
      </c>
      <c r="Y52" s="2">
        <v>0.1</v>
      </c>
      <c r="Z52" s="2">
        <f>IF(K52&gt;0,F52/K52/X52*Conversion!$E$18,0)*Y52</f>
        <v>301.85364170008472</v>
      </c>
      <c r="AA52" s="2">
        <f>IF(L52&gt;0,G52/L52/X52*Conversion!$E$18,0)*Y52</f>
        <v>0</v>
      </c>
      <c r="AB52" s="2">
        <f t="shared" si="18"/>
        <v>93.574628927026268</v>
      </c>
      <c r="AC52" s="2">
        <f>(F52*T52)/365.26/Agriculture!$D$2</f>
        <v>0</v>
      </c>
      <c r="AD52" s="3">
        <f>SUM(Z52:AA52)*Conversion!$F$19</f>
        <v>7.4591053400507937E-2</v>
      </c>
      <c r="AE52">
        <f t="shared" si="14"/>
        <v>14.8</v>
      </c>
      <c r="AF52" s="3">
        <f t="shared" si="19"/>
        <v>2.6494742167860426</v>
      </c>
      <c r="AG52">
        <f t="shared" si="15"/>
        <v>0</v>
      </c>
    </row>
    <row r="53" spans="1:33" ht="18">
      <c r="A53" t="s">
        <v>412</v>
      </c>
      <c r="B53">
        <v>6</v>
      </c>
      <c r="C53">
        <v>2</v>
      </c>
      <c r="D53">
        <f t="shared" si="20"/>
        <v>7.9575922291604702</v>
      </c>
      <c r="F53" s="2">
        <f>IF(D53&gt;0,D53*Agriculture!$D$2+Agriculture!$E$16*E53,IF(E53&gt;0,0,Agriculture!$D$2*0.025))</f>
        <v>15915.18445832094</v>
      </c>
      <c r="G53" s="2">
        <f>L53*1/Agriculture!$C$49*Agriculture!$E$16</f>
        <v>0</v>
      </c>
      <c r="I53" s="60"/>
      <c r="J53" s="60">
        <v>19400</v>
      </c>
      <c r="K53" s="48">
        <f>IF(I53&gt;0,I53,J53/2000*Conversion!$D$23)</f>
        <v>21744.512406999998</v>
      </c>
      <c r="L53" s="60"/>
      <c r="M53" s="60">
        <v>150</v>
      </c>
      <c r="N53" s="60"/>
      <c r="O53" s="59"/>
      <c r="P53" s="59"/>
      <c r="Q53" s="59"/>
      <c r="R53" s="59"/>
      <c r="S53" s="60"/>
      <c r="T53" s="60">
        <f t="shared" si="16"/>
        <v>0</v>
      </c>
      <c r="U53" s="60"/>
      <c r="V53">
        <v>0.31</v>
      </c>
      <c r="X53">
        <f t="shared" si="17"/>
        <v>2.4000000000000004</v>
      </c>
      <c r="Y53" s="2">
        <v>0.1</v>
      </c>
      <c r="Z53" s="2">
        <f>IF(K53&gt;0,F53/K53/X53*Conversion!$E$18,0)*Y53</f>
        <v>304.96553491348766</v>
      </c>
      <c r="AA53" s="2">
        <f>IF(L53&gt;0,G53/L53/X53*Conversion!$E$18,0)*Y53</f>
        <v>0</v>
      </c>
      <c r="AB53" s="2">
        <f t="shared" si="18"/>
        <v>94.53931582318117</v>
      </c>
      <c r="AC53" s="2">
        <f>(F53*T53)/365.26/Agriculture!$D$2</f>
        <v>0</v>
      </c>
      <c r="AD53" s="3">
        <f>SUM(Z53:AA53)*Conversion!$F$19</f>
        <v>7.5360033332471932E-2</v>
      </c>
      <c r="AE53">
        <f t="shared" si="14"/>
        <v>14.8</v>
      </c>
      <c r="AF53" s="3">
        <f t="shared" si="19"/>
        <v>2.6767883839694036</v>
      </c>
      <c r="AG53">
        <f t="shared" si="15"/>
        <v>0</v>
      </c>
    </row>
    <row r="54" spans="1:33" ht="18">
      <c r="A54" t="s">
        <v>417</v>
      </c>
      <c r="B54">
        <v>6</v>
      </c>
      <c r="C54">
        <v>1</v>
      </c>
      <c r="D54">
        <f t="shared" si="20"/>
        <v>3.9787961145802351</v>
      </c>
      <c r="F54" s="2">
        <f>IF(D54&gt;0,D54*Agriculture!$D$2+Agriculture!$E$16*E54,IF(E54&gt;0,0,Agriculture!$D$2*0.025))</f>
        <v>7957.5922291604702</v>
      </c>
      <c r="G54" s="2">
        <f>L54*1/Agriculture!$C$49*Agriculture!$E$16</f>
        <v>0</v>
      </c>
      <c r="I54" s="60"/>
      <c r="J54" s="60">
        <v>10800</v>
      </c>
      <c r="K54" s="48">
        <f>IF(I54&gt;0,I54,J54/2000*Conversion!$D$23)</f>
        <v>12105.192474000001</v>
      </c>
      <c r="L54" s="60"/>
      <c r="M54" s="60">
        <v>150</v>
      </c>
      <c r="N54" s="60"/>
      <c r="O54" s="59"/>
      <c r="P54" s="59"/>
      <c r="Q54" s="59"/>
      <c r="R54" s="59"/>
      <c r="S54" s="60"/>
      <c r="T54" s="60">
        <f t="shared" si="16"/>
        <v>0</v>
      </c>
      <c r="U54" s="60"/>
      <c r="V54">
        <v>0.31</v>
      </c>
      <c r="X54">
        <f t="shared" si="17"/>
        <v>2.4000000000000004</v>
      </c>
      <c r="Y54" s="2">
        <v>0.1</v>
      </c>
      <c r="Z54" s="2">
        <f>IF(K54&gt;0,F54/K54/X54*Conversion!$E$18,0)*Y54</f>
        <v>273.90423043155835</v>
      </c>
      <c r="AA54" s="2">
        <f>IF(L54&gt;0,G54/L54/X54*Conversion!$E$18,0)*Y54</f>
        <v>0</v>
      </c>
      <c r="AB54" s="2">
        <f t="shared" si="18"/>
        <v>84.910311433783093</v>
      </c>
      <c r="AC54" s="2">
        <f>(F54*T54)/365.26/Agriculture!$D$2</f>
        <v>0</v>
      </c>
      <c r="AD54" s="3">
        <f>SUM(Z54:AA54)*Conversion!$F$19</f>
        <v>6.7684474381942375E-2</v>
      </c>
      <c r="AE54">
        <f t="shared" si="14"/>
        <v>14.8</v>
      </c>
      <c r="AF54" s="3">
        <f t="shared" si="19"/>
        <v>2.4041525300465936</v>
      </c>
      <c r="AG54">
        <f t="shared" si="15"/>
        <v>0</v>
      </c>
    </row>
    <row r="55" spans="1:33" ht="18">
      <c r="A55" t="s">
        <v>414</v>
      </c>
      <c r="B55">
        <v>6</v>
      </c>
      <c r="C55">
        <v>2</v>
      </c>
      <c r="D55">
        <f t="shared" si="20"/>
        <v>7.9575922291604702</v>
      </c>
      <c r="F55" s="2">
        <f>IF(D55&gt;0,D55*Agriculture!$D$2+Agriculture!$E$16*E55,IF(E55&gt;0,0,Agriculture!$D$2*0.025))</f>
        <v>15915.18445832094</v>
      </c>
      <c r="G55" s="2">
        <f>L55*1/Agriculture!$C$49*Agriculture!$E$16</f>
        <v>0</v>
      </c>
      <c r="I55" s="60"/>
      <c r="J55" s="60">
        <v>32000</v>
      </c>
      <c r="K55" s="48">
        <f>IF(I55&gt;0,I55,J55/2000*Conversion!$D$23)</f>
        <v>35867.236960000002</v>
      </c>
      <c r="L55" s="60"/>
      <c r="M55" s="60"/>
      <c r="N55" s="60"/>
      <c r="O55" s="59"/>
      <c r="P55" s="59"/>
      <c r="Q55" s="59"/>
      <c r="R55" s="59"/>
      <c r="S55" s="60"/>
      <c r="T55" s="60">
        <f t="shared" si="16"/>
        <v>0</v>
      </c>
      <c r="U55" s="60"/>
      <c r="V55">
        <v>0.31</v>
      </c>
      <c r="X55">
        <f t="shared" si="17"/>
        <v>1</v>
      </c>
      <c r="Y55" s="2">
        <v>0.1</v>
      </c>
      <c r="Z55" s="2">
        <f>IF(K55&gt;0,F55/K55/X55*Conversion!$E$18,0)*Y55</f>
        <v>443.72485329912462</v>
      </c>
      <c r="AA55" s="2">
        <f>IF(L55&gt;0,G55/L55/X55*Conversion!$E$18,0)*Y55</f>
        <v>0</v>
      </c>
      <c r="AB55" s="2">
        <f t="shared" si="18"/>
        <v>137.55470452272863</v>
      </c>
      <c r="AC55" s="2">
        <f>(F55*T55)/365.26/Agriculture!$D$2</f>
        <v>0</v>
      </c>
      <c r="AD55" s="3">
        <f>SUM(Z55:AA55)*Conversion!$F$19</f>
        <v>0.10964884849874668</v>
      </c>
      <c r="AE55">
        <f t="shared" si="14"/>
        <v>14.8</v>
      </c>
      <c r="AF55" s="3">
        <f t="shared" si="19"/>
        <v>1.6228029577814509</v>
      </c>
      <c r="AG55">
        <f t="shared" si="15"/>
        <v>0</v>
      </c>
    </row>
    <row r="56" spans="1:33" ht="18">
      <c r="A56" t="s">
        <v>402</v>
      </c>
      <c r="B56">
        <v>6</v>
      </c>
      <c r="C56">
        <v>1</v>
      </c>
      <c r="D56">
        <f t="shared" si="20"/>
        <v>3.9787961145802351</v>
      </c>
      <c r="F56" s="2">
        <f>IF(D56&gt;0,D56*Agriculture!$D$2+Agriculture!$E$16*E56,IF(E56&gt;0,0,Agriculture!$D$2*0.025))</f>
        <v>7957.5922291604702</v>
      </c>
      <c r="G56" s="2">
        <f>L56*1/Agriculture!$C$49*Agriculture!$E$16</f>
        <v>0</v>
      </c>
      <c r="I56" s="60"/>
      <c r="J56" s="60">
        <v>6660</v>
      </c>
      <c r="K56" s="48">
        <f>IF(I56&gt;0,I56,J56/2000*Conversion!$D$23)</f>
        <v>7464.8686923000005</v>
      </c>
      <c r="L56" s="60"/>
      <c r="M56" s="60"/>
      <c r="N56" s="60">
        <v>1</v>
      </c>
      <c r="O56" s="59"/>
      <c r="P56" s="59"/>
      <c r="Q56" s="59"/>
      <c r="R56" s="59"/>
      <c r="S56" s="60"/>
      <c r="T56" s="60">
        <f t="shared" si="16"/>
        <v>0</v>
      </c>
      <c r="U56" s="60">
        <v>6</v>
      </c>
      <c r="X56">
        <f t="shared" si="17"/>
        <v>1</v>
      </c>
      <c r="Y56" s="2">
        <v>1</v>
      </c>
      <c r="Z56" s="2">
        <f>IF(K56&gt;0,F56/K56/X56*Conversion!$E$18,0)*Y56</f>
        <v>10660.056535714706</v>
      </c>
      <c r="AA56" s="2">
        <f>IF(L56&gt;0,G56/L56/X56*Conversion!$E$18,0)*Y56</f>
        <v>0</v>
      </c>
      <c r="AB56" s="2">
        <f t="shared" si="18"/>
        <v>10660.056535714706</v>
      </c>
      <c r="AC56" s="2">
        <f>(F56*T56)/365.26/Agriculture!$D$2</f>
        <v>0</v>
      </c>
      <c r="AD56" s="3">
        <f>SUM(Z56:AA56)*Conversion!$F$19</f>
        <v>2.6342065705404609</v>
      </c>
      <c r="AE56">
        <f t="shared" si="14"/>
        <v>14.8</v>
      </c>
      <c r="AF56" s="3">
        <f t="shared" si="19"/>
        <v>38.986257243998821</v>
      </c>
      <c r="AG56">
        <f t="shared" si="15"/>
        <v>10660.056535714706</v>
      </c>
    </row>
    <row r="57" spans="1:33" ht="18">
      <c r="A57" t="s">
        <v>424</v>
      </c>
      <c r="B57">
        <v>6</v>
      </c>
      <c r="C57">
        <v>2</v>
      </c>
      <c r="D57">
        <f t="shared" si="20"/>
        <v>7.9575922291604702</v>
      </c>
      <c r="F57" s="2">
        <f>IF(D57&gt;0,D57*Agriculture!$D$2+Agriculture!$E$16*E57,IF(E57&gt;0,0,Agriculture!$D$2*0.025))</f>
        <v>15915.18445832094</v>
      </c>
      <c r="G57" s="2">
        <f>L57*1/Agriculture!$C$49*Agriculture!$E$16</f>
        <v>0</v>
      </c>
      <c r="J57">
        <v>8400</v>
      </c>
      <c r="K57" s="48">
        <f>IF(I57&gt;0,I57,J57/2000*Conversion!$D$23)</f>
        <v>9415.1497020000006</v>
      </c>
      <c r="M57">
        <v>150</v>
      </c>
      <c r="T57" s="60">
        <f t="shared" si="16"/>
        <v>0</v>
      </c>
      <c r="U57" s="60"/>
      <c r="V57">
        <v>0.31</v>
      </c>
      <c r="X57">
        <f t="shared" si="17"/>
        <v>2.4000000000000004</v>
      </c>
      <c r="Y57" s="2">
        <v>0.1</v>
      </c>
      <c r="Z57" s="2">
        <f>IF(K57&gt;0,F57/K57/X57*Conversion!$E$18,0)*Y57</f>
        <v>704.32516396686435</v>
      </c>
      <c r="AA57" s="2">
        <f>IF(L57&gt;0,G57/L57/X57*Conversion!$E$18,0)*Y57</f>
        <v>0</v>
      </c>
      <c r="AB57" s="2">
        <f t="shared" si="18"/>
        <v>218.34080082972795</v>
      </c>
      <c r="AC57" s="2">
        <f>(F57*T57)/365.26/Agriculture!$D$2</f>
        <v>0</v>
      </c>
      <c r="AD57" s="3">
        <f>SUM(Z57:AA57)*Conversion!$F$19</f>
        <v>0.17404579126785183</v>
      </c>
      <c r="AE57">
        <f t="shared" si="14"/>
        <v>14.8</v>
      </c>
      <c r="AF57" s="3">
        <f t="shared" si="19"/>
        <v>6.1821065058340983</v>
      </c>
      <c r="AG57">
        <f t="shared" si="15"/>
        <v>0</v>
      </c>
    </row>
    <row r="58" spans="1:33" ht="18">
      <c r="A58" t="s">
        <v>403</v>
      </c>
      <c r="B58">
        <v>6</v>
      </c>
      <c r="C58">
        <v>0</v>
      </c>
      <c r="D58">
        <f t="shared" si="20"/>
        <v>0</v>
      </c>
      <c r="F58" s="2">
        <f>IF(D58&gt;0,D58*Agriculture!$D$2+Agriculture!$E$16*E58,IF(E58&gt;0,0,Agriculture!$D$2*0.025))</f>
        <v>50</v>
      </c>
      <c r="G58" s="2">
        <f>L58*1/Agriculture!$C$49*Agriculture!$E$16</f>
        <v>0</v>
      </c>
      <c r="J58">
        <v>9420</v>
      </c>
      <c r="K58" s="48">
        <f>IF(I58&gt;0,I58,J58/2000*Conversion!$D$23)</f>
        <v>10558.4178801</v>
      </c>
      <c r="T58" s="60">
        <f t="shared" si="16"/>
        <v>0</v>
      </c>
      <c r="U58" s="60"/>
      <c r="X58">
        <f t="shared" si="17"/>
        <v>1</v>
      </c>
      <c r="Y58" s="2">
        <v>1</v>
      </c>
      <c r="Z58" s="2">
        <f>IF(K58&gt;0,F58/K58/X58*Conversion!$E$18,0)*Y58</f>
        <v>47.355579754271339</v>
      </c>
      <c r="AA58" s="2">
        <f>IF(L58&gt;0,G58/L58/X58*Conversion!$E$18,0)*Y58</f>
        <v>0</v>
      </c>
      <c r="AB58" s="2">
        <f t="shared" si="18"/>
        <v>47.355579754271339</v>
      </c>
      <c r="AC58" s="2">
        <f>(F58*T58)/365.26/Agriculture!$D$2</f>
        <v>0</v>
      </c>
      <c r="AD58" s="3">
        <f>SUM(Z58:AA58)*Conversion!$F$19</f>
        <v>1.1702037313077989E-2</v>
      </c>
      <c r="AE58">
        <f t="shared" si="14"/>
        <v>14.8</v>
      </c>
      <c r="AF58" s="3">
        <f t="shared" si="19"/>
        <v>0.17319015223355425</v>
      </c>
      <c r="AG58">
        <f t="shared" si="15"/>
        <v>0</v>
      </c>
    </row>
    <row r="59" spans="1:33" ht="18">
      <c r="A59" t="s">
        <v>404</v>
      </c>
      <c r="B59">
        <v>6</v>
      </c>
      <c r="C59">
        <v>0</v>
      </c>
      <c r="D59">
        <f t="shared" si="20"/>
        <v>0</v>
      </c>
      <c r="F59" s="2">
        <f>IF(D59&gt;0,D59*Agriculture!$D$2+Agriculture!$E$16*E59,IF(E59&gt;0,0,Agriculture!$D$2*0.025))</f>
        <v>50</v>
      </c>
      <c r="G59" s="2">
        <f>L59*1/Agriculture!$C$49*Agriculture!$E$16</f>
        <v>0</v>
      </c>
      <c r="I59" s="60"/>
      <c r="J59" s="60">
        <v>4620</v>
      </c>
      <c r="K59" s="48">
        <f>IF(I59&gt;0,I59,J59/2000*Conversion!$D$23)</f>
        <v>5178.3323361000002</v>
      </c>
      <c r="L59" s="60"/>
      <c r="M59" s="60"/>
      <c r="N59" s="60">
        <v>1</v>
      </c>
      <c r="O59" s="59"/>
      <c r="P59" s="59"/>
      <c r="Q59" s="59"/>
      <c r="R59" s="59"/>
      <c r="S59" s="59"/>
      <c r="T59" s="60">
        <f t="shared" si="16"/>
        <v>0</v>
      </c>
      <c r="U59" s="60"/>
      <c r="X59">
        <f t="shared" si="17"/>
        <v>1</v>
      </c>
      <c r="Y59" s="2">
        <v>1</v>
      </c>
      <c r="Z59" s="2">
        <f>IF(K59&gt;0,F59/K59/X59*Conversion!$E$18,0)*Y59</f>
        <v>96.556182096371401</v>
      </c>
      <c r="AA59" s="2">
        <f>IF(L59&gt;0,G59/L59/X59*Conversion!$E$18,0)*Y59</f>
        <v>0</v>
      </c>
      <c r="AB59" s="2">
        <f t="shared" si="18"/>
        <v>96.556182096371401</v>
      </c>
      <c r="AC59" s="2">
        <f>(F59*T59)/365.26/Agriculture!$D$2</f>
        <v>0</v>
      </c>
      <c r="AD59" s="3">
        <f>SUM(Z59:AA59)*Conversion!$F$19</f>
        <v>2.3859998157834336E-2</v>
      </c>
      <c r="AE59">
        <f t="shared" si="14"/>
        <v>14.8</v>
      </c>
      <c r="AF59" s="3">
        <f t="shared" si="19"/>
        <v>0.3531279727359482</v>
      </c>
      <c r="AG59">
        <f t="shared" si="15"/>
        <v>0</v>
      </c>
    </row>
    <row r="60" spans="1:33" ht="18">
      <c r="A60" t="s">
        <v>102</v>
      </c>
      <c r="B60">
        <v>6</v>
      </c>
      <c r="C60">
        <v>1</v>
      </c>
      <c r="D60">
        <f t="shared" si="20"/>
        <v>3.9787961145802351</v>
      </c>
      <c r="F60" s="2">
        <f>IF(D60&gt;0,D60*Agriculture!$D$2+Agriculture!$E$16*E60,IF(E60&gt;0,0,Agriculture!$D$2*0.025))</f>
        <v>7957.5922291604702</v>
      </c>
      <c r="G60" s="2">
        <f>L60*1/Agriculture!$C$49*Agriculture!$E$16</f>
        <v>0</v>
      </c>
      <c r="I60">
        <v>4000</v>
      </c>
      <c r="K60" s="48">
        <f>IF(I60&gt;0,I60,J60/2000*Conversion!$D$23)</f>
        <v>4000</v>
      </c>
      <c r="T60" s="60">
        <f t="shared" si="16"/>
        <v>0</v>
      </c>
      <c r="U60" s="60"/>
      <c r="V60">
        <v>0.31</v>
      </c>
      <c r="W60">
        <v>1</v>
      </c>
      <c r="X60">
        <f t="shared" si="17"/>
        <v>1</v>
      </c>
      <c r="Y60" s="2">
        <v>0.1</v>
      </c>
      <c r="Z60" s="2">
        <f>IF(K60&gt;0,F60/K60/X60*Conversion!$E$18,0)*Y60</f>
        <v>1989.3980572901175</v>
      </c>
      <c r="AA60" s="2">
        <f>IF(L60&gt;0,G60/L60/X60*Conversion!$E$18,0)*Y60</f>
        <v>0</v>
      </c>
      <c r="AB60" s="2">
        <f t="shared" si="18"/>
        <v>616.71339775993647</v>
      </c>
      <c r="AC60" s="2">
        <f>(F60*T60)/365.26/Agriculture!$D$2</f>
        <v>0</v>
      </c>
      <c r="AD60" s="3">
        <f>SUM(Z60:AA60)*Conversion!$F$19</f>
        <v>0.49160015393696094</v>
      </c>
      <c r="AE60">
        <f t="shared" si="14"/>
        <v>14.8</v>
      </c>
      <c r="AF60" s="3">
        <f t="shared" si="19"/>
        <v>7.2756822782670225</v>
      </c>
      <c r="AG60">
        <f t="shared" si="15"/>
        <v>0</v>
      </c>
    </row>
    <row r="61" spans="1:33" ht="18">
      <c r="A61" t="s">
        <v>111</v>
      </c>
      <c r="B61">
        <v>6</v>
      </c>
      <c r="C61">
        <v>1</v>
      </c>
      <c r="D61">
        <f t="shared" si="20"/>
        <v>3.9787961145802351</v>
      </c>
      <c r="F61" s="2">
        <f>IF(D61&gt;0,D61*Agriculture!$D$2+Agriculture!$E$16*E61,IF(E61&gt;0,0,Agriculture!$D$2*0.025))</f>
        <v>7957.5922291604702</v>
      </c>
      <c r="G61" s="2">
        <f>L61*1/Agriculture!$C$49*Agriculture!$E$16</f>
        <v>0</v>
      </c>
      <c r="I61">
        <v>2000</v>
      </c>
      <c r="J61">
        <v>14770</v>
      </c>
      <c r="K61" s="48">
        <f>IF(I61&gt;0,I61,J61/2000*Conversion!$D$23)</f>
        <v>2000</v>
      </c>
      <c r="N61">
        <v>1</v>
      </c>
      <c r="R61" s="59">
        <v>98</v>
      </c>
      <c r="T61" s="60">
        <f t="shared" si="16"/>
        <v>3920</v>
      </c>
      <c r="U61" s="60"/>
      <c r="V61">
        <v>2</v>
      </c>
      <c r="X61">
        <f t="shared" si="17"/>
        <v>1</v>
      </c>
      <c r="Y61" s="2">
        <v>0.5</v>
      </c>
      <c r="Z61" s="2">
        <f>IF(K61&gt;0,F61/K61/X61*Conversion!$E$18,0)*Y61</f>
        <v>19893.980572901175</v>
      </c>
      <c r="AA61" s="2">
        <f>IF(L61&gt;0,G61/L61/X61*Conversion!$E$18,0)*Y61</f>
        <v>0</v>
      </c>
      <c r="AB61" s="2">
        <f t="shared" si="18"/>
        <v>39787.96114580235</v>
      </c>
      <c r="AC61" s="2">
        <f>(F61*T61)/365.26/Agriculture!$D$2</f>
        <v>42.700763207453655</v>
      </c>
      <c r="AD61" s="3">
        <f>SUM(Z61:AA61)*Conversion!$F$19</f>
        <v>4.916001539369609</v>
      </c>
      <c r="AE61">
        <f t="shared" si="14"/>
        <v>14.8</v>
      </c>
      <c r="AF61" s="3">
        <f t="shared" si="19"/>
        <v>72.756822782670213</v>
      </c>
      <c r="AG61">
        <f t="shared" si="15"/>
        <v>0</v>
      </c>
    </row>
    <row r="62" spans="1:33" ht="18">
      <c r="A62" t="s">
        <v>405</v>
      </c>
      <c r="B62">
        <v>6</v>
      </c>
      <c r="C62">
        <v>0</v>
      </c>
      <c r="D62">
        <f t="shared" si="20"/>
        <v>0</v>
      </c>
      <c r="F62" s="2">
        <f>IF(D62&gt;0,D62*Agriculture!$D$2+Agriculture!$E$16*E62,IF(E62&gt;0,0,Agriculture!$D$2*0.025))</f>
        <v>50</v>
      </c>
      <c r="G62" s="2">
        <f>L62*1/Agriculture!$C$49*Agriculture!$E$16</f>
        <v>0</v>
      </c>
      <c r="I62" s="60"/>
      <c r="J62" s="60">
        <v>7860</v>
      </c>
      <c r="K62" s="48">
        <f>IF(I62&gt;0,I62,J62/2000*Conversion!$D$23)</f>
        <v>8809.8900783000008</v>
      </c>
      <c r="L62" s="60"/>
      <c r="M62" s="60"/>
      <c r="N62" s="60">
        <v>1</v>
      </c>
      <c r="O62" s="59"/>
      <c r="P62" s="59"/>
      <c r="Q62" s="59"/>
      <c r="R62" s="59"/>
      <c r="S62" s="59"/>
      <c r="T62" s="60">
        <f t="shared" si="16"/>
        <v>0</v>
      </c>
      <c r="U62" s="60"/>
      <c r="X62">
        <f t="shared" si="17"/>
        <v>1</v>
      </c>
      <c r="Y62" s="2">
        <v>0.1</v>
      </c>
      <c r="Z62" s="2">
        <f>IF(K62&gt;0,F62/K62/X62*Conversion!$E$18,0)*Y62</f>
        <v>5.6754397110080905</v>
      </c>
      <c r="AA62" s="2">
        <f>IF(L62&gt;0,G62/L62/X62*Conversion!$E$18,0)*Y62</f>
        <v>0</v>
      </c>
      <c r="AB62" s="2">
        <f t="shared" si="18"/>
        <v>5.6754397110080905</v>
      </c>
      <c r="AC62" s="2">
        <f>(F62*T62)/365.26/Agriculture!$D$2</f>
        <v>0</v>
      </c>
      <c r="AD62" s="3">
        <f>SUM(Z62:AA62)*Conversion!$F$19</f>
        <v>1.4024579069872093E-3</v>
      </c>
      <c r="AE62">
        <f t="shared" si="14"/>
        <v>14.8</v>
      </c>
      <c r="AF62" s="3">
        <f t="shared" si="19"/>
        <v>2.0756377023410696E-2</v>
      </c>
      <c r="AG62">
        <f t="shared" si="15"/>
        <v>0</v>
      </c>
    </row>
    <row r="63" spans="1:33" ht="18">
      <c r="A63" t="s">
        <v>439</v>
      </c>
      <c r="B63">
        <v>6</v>
      </c>
      <c r="C63">
        <v>1</v>
      </c>
      <c r="D63">
        <f t="shared" si="20"/>
        <v>3.9787961145802351</v>
      </c>
      <c r="F63" s="2">
        <f>IF(D63&gt;0,D63*Agriculture!$D$2+Agriculture!$E$16*E63,IF(E63&gt;0,0,Agriculture!$D$2*0.025))</f>
        <v>7957.5922291604702</v>
      </c>
      <c r="G63" s="2">
        <f>L63*1/Agriculture!$C$49*Agriculture!$E$16</f>
        <v>0</v>
      </c>
      <c r="I63" s="60"/>
      <c r="J63" s="60"/>
      <c r="K63" s="60">
        <f>320*50</f>
        <v>16000</v>
      </c>
      <c r="M63" s="60"/>
      <c r="N63" s="60"/>
      <c r="O63" s="59"/>
      <c r="P63" s="59"/>
      <c r="Q63" s="59"/>
      <c r="R63" s="59"/>
      <c r="S63" s="59"/>
      <c r="T63" s="60">
        <f t="shared" si="16"/>
        <v>0</v>
      </c>
      <c r="U63" s="60">
        <v>6</v>
      </c>
      <c r="X63">
        <f t="shared" si="17"/>
        <v>1</v>
      </c>
      <c r="Y63" s="2">
        <v>1</v>
      </c>
      <c r="Z63" s="2">
        <f>IF(K63&gt;0,F63/K63/X63*Conversion!$E$18,0)*Y63</f>
        <v>4973.4951432252938</v>
      </c>
      <c r="AA63" s="2">
        <f>IF(L63&gt;0,G63/L63/X63*Conversion!$E$18,0)*Y63</f>
        <v>0</v>
      </c>
      <c r="AB63" s="2">
        <f t="shared" si="18"/>
        <v>4973.4951432252938</v>
      </c>
      <c r="AC63" s="2">
        <f>(F63*T63)/365.26/Agriculture!$D$2</f>
        <v>0</v>
      </c>
      <c r="AD63" s="3">
        <f>SUM(Z63:AA63)*Conversion!$F$19</f>
        <v>1.2290003848424023</v>
      </c>
      <c r="AE63">
        <f t="shared" si="14"/>
        <v>14.8</v>
      </c>
      <c r="AF63" s="3">
        <f t="shared" si="19"/>
        <v>18.189205695667553</v>
      </c>
      <c r="AG63">
        <f t="shared" si="15"/>
        <v>4973.4951432252938</v>
      </c>
    </row>
    <row r="64" spans="1:33" ht="18">
      <c r="A64" t="s">
        <v>416</v>
      </c>
      <c r="B64">
        <v>6</v>
      </c>
      <c r="C64">
        <v>2</v>
      </c>
      <c r="D64">
        <f t="shared" si="20"/>
        <v>7.9575922291604702</v>
      </c>
      <c r="F64" s="2">
        <f>IF(D64&gt;0,D64*Agriculture!$D$2+Agriculture!$E$16*E64,IF(E64&gt;0,0,Agriculture!$D$2*0.025))</f>
        <v>15915.18445832094</v>
      </c>
      <c r="G64" s="2">
        <f>L64*1/Agriculture!$C$49*Agriculture!$E$16</f>
        <v>0</v>
      </c>
      <c r="I64" s="59"/>
      <c r="J64" s="59">
        <v>9100</v>
      </c>
      <c r="K64" s="48">
        <f>IF(I64&gt;0,I64,J64/2000*Conversion!$D$23)</f>
        <v>10199.745510500001</v>
      </c>
      <c r="L64" s="59"/>
      <c r="M64" s="59">
        <v>150</v>
      </c>
      <c r="N64" s="59"/>
      <c r="O64" s="59"/>
      <c r="P64" s="59"/>
      <c r="Q64" s="59"/>
      <c r="R64" s="59"/>
      <c r="S64" s="59"/>
      <c r="T64" s="60">
        <f t="shared" si="16"/>
        <v>0</v>
      </c>
      <c r="U64" s="60"/>
      <c r="V64">
        <v>0.31</v>
      </c>
      <c r="X64">
        <f t="shared" si="17"/>
        <v>2.4000000000000004</v>
      </c>
      <c r="Y64" s="2">
        <v>0.1</v>
      </c>
      <c r="Z64" s="2">
        <f>IF(K64&gt;0,F64/K64/X64*Conversion!$E$18,0)*Y64</f>
        <v>650.14630520018238</v>
      </c>
      <c r="AA64" s="2">
        <f>IF(L64&gt;0,G64/L64/X64*Conversion!$E$18,0)*Y64</f>
        <v>0</v>
      </c>
      <c r="AB64" s="2">
        <f t="shared" si="18"/>
        <v>201.54535461205654</v>
      </c>
      <c r="AC64" s="2">
        <f>(F64*T64)/365.26/Agriculture!$D$2</f>
        <v>0</v>
      </c>
      <c r="AD64" s="3">
        <f>SUM(Z64:AA64)*Conversion!$F$19</f>
        <v>0.16065765347801705</v>
      </c>
      <c r="AE64">
        <f t="shared" si="14"/>
        <v>14.8</v>
      </c>
      <c r="AF64" s="3">
        <f t="shared" si="19"/>
        <v>5.7065598515391667</v>
      </c>
      <c r="AG64">
        <f t="shared" si="15"/>
        <v>0</v>
      </c>
    </row>
    <row r="65" spans="1:33" ht="18">
      <c r="A65" t="s">
        <v>440</v>
      </c>
      <c r="B65">
        <v>6</v>
      </c>
      <c r="C65">
        <v>1</v>
      </c>
      <c r="D65">
        <f t="shared" si="20"/>
        <v>3.9787961145802351</v>
      </c>
      <c r="F65" s="2">
        <f>IF(D65&gt;0,D65*Agriculture!$D$2+Agriculture!$E$16*E65,IF(E65&gt;0,0,Agriculture!$D$2*0.025))</f>
        <v>7957.5922291604702</v>
      </c>
      <c r="G65" s="2">
        <f>L65*1/Agriculture!$C$49*Agriculture!$E$16</f>
        <v>0</v>
      </c>
      <c r="I65" s="60"/>
      <c r="J65" s="60"/>
      <c r="K65" s="60">
        <f>K64</f>
        <v>10199.745510500001</v>
      </c>
      <c r="M65" s="60"/>
      <c r="N65" s="60"/>
      <c r="O65" s="59"/>
      <c r="P65" s="59"/>
      <c r="Q65" s="59"/>
      <c r="R65" s="59"/>
      <c r="S65" s="59"/>
      <c r="T65" s="60">
        <f t="shared" si="16"/>
        <v>0</v>
      </c>
      <c r="U65" s="60">
        <v>6</v>
      </c>
      <c r="X65">
        <f t="shared" si="17"/>
        <v>1</v>
      </c>
      <c r="Y65" s="2">
        <v>1</v>
      </c>
      <c r="Z65" s="2">
        <f>IF(K65&gt;0,F65/K65/X65*Conversion!$E$18,0)*Y65</f>
        <v>7801.75566240219</v>
      </c>
      <c r="AA65" s="2">
        <f>IF(L65&gt;0,G65/L65/X65*Conversion!$E$18,0)*Y65</f>
        <v>0</v>
      </c>
      <c r="AB65" s="2">
        <f t="shared" si="18"/>
        <v>7801.75566240219</v>
      </c>
      <c r="AC65" s="2">
        <f>(F65*T65)/365.26/Agriculture!$D$2</f>
        <v>0</v>
      </c>
      <c r="AD65" s="3">
        <f>SUM(Z65:AA65)*Conversion!$F$19</f>
        <v>1.927891841736205</v>
      </c>
      <c r="AE65">
        <f t="shared" si="14"/>
        <v>14.8</v>
      </c>
      <c r="AF65" s="3">
        <f t="shared" si="19"/>
        <v>28.532799257695835</v>
      </c>
      <c r="AG65">
        <f t="shared" si="15"/>
        <v>7801.75566240219</v>
      </c>
    </row>
    <row r="66" spans="1:33" ht="18">
      <c r="A66" t="s">
        <v>406</v>
      </c>
      <c r="B66">
        <v>6</v>
      </c>
      <c r="C66">
        <v>1</v>
      </c>
      <c r="D66">
        <f t="shared" si="20"/>
        <v>3.9787961145802351</v>
      </c>
      <c r="F66" s="2">
        <f>IF(D66&gt;0,D66*Agriculture!$D$2+Agriculture!$E$16*E66,IF(E66&gt;0,0,Agriculture!$D$2*0.025))</f>
        <v>7957.5922291604702</v>
      </c>
      <c r="G66" s="2">
        <f>L66*1/Agriculture!$C$49*Agriculture!$E$16</f>
        <v>0</v>
      </c>
      <c r="J66">
        <v>16080</v>
      </c>
      <c r="K66" s="48">
        <f>IF(I66&gt;0,I66,J66/2000*Conversion!$D$23)</f>
        <v>18023.2865724</v>
      </c>
      <c r="N66">
        <v>1</v>
      </c>
      <c r="O66" s="59"/>
      <c r="P66" s="59"/>
      <c r="Q66" s="59"/>
      <c r="R66" s="59"/>
      <c r="S66" s="59"/>
      <c r="T66" s="60">
        <f t="shared" si="16"/>
        <v>0</v>
      </c>
      <c r="U66" s="60">
        <v>6</v>
      </c>
      <c r="X66">
        <f t="shared" si="17"/>
        <v>1</v>
      </c>
      <c r="Y66" s="2">
        <v>1</v>
      </c>
      <c r="Z66" s="2">
        <f>IF(K66&gt;0,F66/K66/X66*Conversion!$E$18,0)*Y66</f>
        <v>4415.1726696430314</v>
      </c>
      <c r="AA66" s="2">
        <f>IF(L66&gt;0,G66/L66/X66*Conversion!$E$18,0)*Y66</f>
        <v>0</v>
      </c>
      <c r="AB66" s="2">
        <f t="shared" si="18"/>
        <v>4415.1726696430314</v>
      </c>
      <c r="AC66" s="2">
        <f>(F66*T66)/365.26/Agriculture!$D$2</f>
        <v>0</v>
      </c>
      <c r="AD66" s="3">
        <f>SUM(Z66:AA66)*Conversion!$F$19</f>
        <v>1.0910333183954894</v>
      </c>
      <c r="AE66">
        <f t="shared" si="14"/>
        <v>14.8</v>
      </c>
      <c r="AF66" s="3">
        <f t="shared" si="19"/>
        <v>16.147293112253244</v>
      </c>
      <c r="AG66">
        <f t="shared" si="15"/>
        <v>4415.1726696430314</v>
      </c>
    </row>
    <row r="67" spans="1:33" ht="18">
      <c r="A67" t="s">
        <v>413</v>
      </c>
      <c r="B67">
        <v>6</v>
      </c>
      <c r="C67">
        <v>2</v>
      </c>
      <c r="D67">
        <f t="shared" si="20"/>
        <v>7.9575922291604702</v>
      </c>
      <c r="F67" s="2">
        <f>IF(D67&gt;0,D67*Agriculture!$D$2+Agriculture!$E$16*E67,IF(E67&gt;0,0,Agriculture!$D$2*0.025))</f>
        <v>15915.18445832094</v>
      </c>
      <c r="G67" s="2">
        <f>L67*1/Agriculture!$C$49*Agriculture!$E$16</f>
        <v>0</v>
      </c>
      <c r="J67">
        <v>19800</v>
      </c>
      <c r="K67" s="48">
        <f>IF(I67&gt;0,I67,J67/2000*Conversion!$D$23)</f>
        <v>22192.852869000002</v>
      </c>
      <c r="M67">
        <v>30</v>
      </c>
      <c r="O67" s="59"/>
      <c r="P67" s="59"/>
      <c r="Q67" s="59"/>
      <c r="R67" s="59"/>
      <c r="S67" s="59"/>
      <c r="T67" s="60">
        <f t="shared" si="16"/>
        <v>0</v>
      </c>
      <c r="U67" s="60"/>
      <c r="V67">
        <v>0.31</v>
      </c>
      <c r="X67">
        <f t="shared" si="17"/>
        <v>12.100000000000001</v>
      </c>
      <c r="Y67" s="2">
        <v>0.1</v>
      </c>
      <c r="Z67" s="2">
        <f>IF(K67&gt;0,F67/K67/X67*Conversion!$E$18,0)*Y67</f>
        <v>59.267031077602411</v>
      </c>
      <c r="AA67" s="2">
        <f>IF(L67&gt;0,G67/L67/X67*Conversion!$E$18,0)*Y67</f>
        <v>0</v>
      </c>
      <c r="AB67" s="2">
        <f t="shared" si="18"/>
        <v>18.372779634056748</v>
      </c>
      <c r="AC67" s="2">
        <f>(F67*T67)/365.26/Agriculture!$D$2</f>
        <v>0</v>
      </c>
      <c r="AD67" s="3">
        <f>SUM(Z67:AA67)*Conversion!$F$19</f>
        <v>1.4645476049586331E-2</v>
      </c>
      <c r="AE67">
        <f t="shared" si="14"/>
        <v>14.8</v>
      </c>
      <c r="AF67" s="3">
        <f t="shared" si="19"/>
        <v>2.6227118509599205</v>
      </c>
      <c r="AG67">
        <f t="shared" si="15"/>
        <v>0</v>
      </c>
    </row>
    <row r="68" spans="1:33" ht="18">
      <c r="A68" t="s">
        <v>438</v>
      </c>
      <c r="B68">
        <v>6</v>
      </c>
      <c r="C68">
        <v>1</v>
      </c>
      <c r="D68">
        <f t="shared" si="20"/>
        <v>3.9787961145802351</v>
      </c>
      <c r="F68" s="2">
        <f>IF(D68&gt;0,D68*Agriculture!$D$2+Agriculture!$E$16*E68,IF(E68&gt;0,0,Agriculture!$D$2*0.025))</f>
        <v>7957.5922291604702</v>
      </c>
      <c r="G68" s="2">
        <f>L68*1/Agriculture!$C$49*Agriculture!$E$16</f>
        <v>0</v>
      </c>
      <c r="K68" s="48">
        <v>40000</v>
      </c>
      <c r="O68" s="59"/>
      <c r="P68" s="59"/>
      <c r="Q68" s="59"/>
      <c r="R68" s="59"/>
      <c r="S68" s="59"/>
      <c r="T68" s="60">
        <f t="shared" si="16"/>
        <v>0</v>
      </c>
      <c r="U68" s="60">
        <v>6</v>
      </c>
      <c r="X68">
        <f t="shared" si="17"/>
        <v>1</v>
      </c>
      <c r="Y68" s="2">
        <v>0.1</v>
      </c>
      <c r="Z68" s="2">
        <f>IF(K68&gt;0,F68/K68/X68*Conversion!$E$18,0)*Y68</f>
        <v>198.93980572901177</v>
      </c>
      <c r="AA68" s="2">
        <f>IF(L68&gt;0,G68/L68/X68*Conversion!$E$18,0)*Y68</f>
        <v>0</v>
      </c>
      <c r="AB68" s="2">
        <f t="shared" si="18"/>
        <v>198.93980572901177</v>
      </c>
      <c r="AC68" s="2">
        <f>(F68*T68)/365.26/Agriculture!$D$2</f>
        <v>0</v>
      </c>
      <c r="AD68" s="3">
        <f>SUM(Z68:AA68)*Conversion!$F$19</f>
        <v>4.9160015393696091E-2</v>
      </c>
      <c r="AE68">
        <f t="shared" si="14"/>
        <v>14.8</v>
      </c>
      <c r="AF68" s="3">
        <f t="shared" si="19"/>
        <v>0.72756822782670216</v>
      </c>
      <c r="AG68">
        <f t="shared" si="15"/>
        <v>198.93980572901177</v>
      </c>
    </row>
    <row r="69" spans="1:33" ht="18">
      <c r="A69" t="s">
        <v>96</v>
      </c>
      <c r="B69">
        <v>6</v>
      </c>
      <c r="C69">
        <v>0</v>
      </c>
      <c r="D69">
        <f t="shared" si="20"/>
        <v>0</v>
      </c>
      <c r="F69" s="2">
        <f>IF(D69&gt;0,D69*Agriculture!$D$2+Agriculture!$E$16*E69,IF(E69&gt;0,0,Agriculture!$D$2*0.025))</f>
        <v>50</v>
      </c>
      <c r="G69" s="2">
        <f>L69*1/Agriculture!$C$49*Agriculture!$E$16</f>
        <v>0</v>
      </c>
      <c r="I69">
        <v>40000</v>
      </c>
      <c r="K69" s="48">
        <f>IF(I69&gt;0,I69,J69/2000*Conversion!$D$23)</f>
        <v>40000</v>
      </c>
      <c r="P69">
        <v>1</v>
      </c>
      <c r="Q69">
        <v>1</v>
      </c>
      <c r="R69">
        <v>98</v>
      </c>
      <c r="T69" s="60">
        <f t="shared" si="16"/>
        <v>4100</v>
      </c>
      <c r="U69" s="60"/>
      <c r="V69">
        <v>1</v>
      </c>
      <c r="X69">
        <f t="shared" si="17"/>
        <v>1</v>
      </c>
      <c r="Y69" s="2">
        <v>1</v>
      </c>
      <c r="Z69" s="2">
        <f>IF(K69&gt;0,F69/K69/X69*Conversion!$E$18,0)*Y69</f>
        <v>12.5</v>
      </c>
      <c r="AA69" s="2">
        <f>IF(L69&gt;0,G69/L69/X69*Conversion!$E$18,0)*Y69</f>
        <v>0</v>
      </c>
      <c r="AB69" s="2">
        <f t="shared" si="18"/>
        <v>12.5</v>
      </c>
      <c r="AC69" s="2">
        <f>(F69*T69)/365.26/Agriculture!$D$2</f>
        <v>0.28062202266878389</v>
      </c>
      <c r="AD69" s="3">
        <f>SUM(Z69:AA69)*Conversion!$F$19</f>
        <v>3.0888749999999996E-3</v>
      </c>
      <c r="AE69">
        <f t="shared" si="14"/>
        <v>14.8</v>
      </c>
      <c r="AF69" s="3">
        <f t="shared" si="19"/>
        <v>4.5715349999999995E-2</v>
      </c>
      <c r="AG69">
        <f t="shared" ref="AG69:AG87" si="21">IF(U69&gt;2,SUM(Z69:AA69),0)</f>
        <v>0</v>
      </c>
    </row>
    <row r="70" spans="1:33" ht="18">
      <c r="A70" t="s">
        <v>454</v>
      </c>
      <c r="B70">
        <v>6</v>
      </c>
      <c r="C70">
        <v>0</v>
      </c>
      <c r="D70">
        <f t="shared" si="20"/>
        <v>0</v>
      </c>
      <c r="F70" s="2">
        <f>IF(D70&gt;0,D70*Agriculture!$D$2+Agriculture!$E$16*E70,IF(E70&gt;0,0,Agriculture!$D$2*0.025))</f>
        <v>50</v>
      </c>
      <c r="G70" s="2">
        <f>L70*1/Agriculture!$C$49*Agriculture!$E$16</f>
        <v>0</v>
      </c>
      <c r="I70">
        <v>1000</v>
      </c>
      <c r="K70" s="48">
        <f>IF(I70&gt;0,I70,J70/2000*Conversion!$D$23)</f>
        <v>1000</v>
      </c>
      <c r="P70">
        <v>18</v>
      </c>
      <c r="Q70">
        <v>2</v>
      </c>
      <c r="R70">
        <v>80</v>
      </c>
      <c r="T70" s="60">
        <f t="shared" si="16"/>
        <v>5000</v>
      </c>
      <c r="U70" s="60"/>
      <c r="V70">
        <v>0.31</v>
      </c>
      <c r="W70">
        <v>1</v>
      </c>
      <c r="X70">
        <f t="shared" si="17"/>
        <v>1</v>
      </c>
      <c r="Y70" s="2">
        <v>0.1</v>
      </c>
      <c r="Z70" s="2">
        <f>IF(K70&gt;0,F70/K70/X70*Conversion!$E$18,0)*Y70</f>
        <v>50</v>
      </c>
      <c r="AA70" s="2">
        <f>IF(L70&gt;0,G70/L70/X70*Conversion!$E$18,0)*Y70</f>
        <v>0</v>
      </c>
      <c r="AB70" s="2">
        <f t="shared" si="18"/>
        <v>15.5</v>
      </c>
      <c r="AC70" s="2">
        <f>(F70*T70)/365.26/Agriculture!$D$2</f>
        <v>0.34222197886437061</v>
      </c>
      <c r="AD70" s="3">
        <f>SUM(Z70:AA70)*Conversion!$F$19</f>
        <v>1.2355499999999998E-2</v>
      </c>
      <c r="AE70">
        <f t="shared" si="14"/>
        <v>14.8</v>
      </c>
      <c r="AF70" s="3">
        <f t="shared" si="19"/>
        <v>0.18286139999999998</v>
      </c>
      <c r="AG70">
        <f t="shared" si="21"/>
        <v>0</v>
      </c>
    </row>
    <row r="71" spans="1:33" ht="18">
      <c r="A71" t="s">
        <v>408</v>
      </c>
      <c r="B71">
        <v>6</v>
      </c>
      <c r="C71">
        <v>1</v>
      </c>
      <c r="D71">
        <f t="shared" si="20"/>
        <v>3.9787961145802351</v>
      </c>
      <c r="F71" s="2">
        <f>IF(D71&gt;0,D71*Agriculture!$D$2+Agriculture!$E$16*E71,IF(E71&gt;0,0,Agriculture!$D$2*0.025))</f>
        <v>7957.5922291604702</v>
      </c>
      <c r="G71" s="2">
        <f>L71*1/Agriculture!$C$49*Agriculture!$E$16</f>
        <v>0</v>
      </c>
      <c r="J71">
        <v>31400</v>
      </c>
      <c r="K71" s="48">
        <f>IF(I71&gt;0,I71,J71/2000*Conversion!$D$23)</f>
        <v>35194.726266999998</v>
      </c>
      <c r="N71">
        <v>1</v>
      </c>
      <c r="O71" s="59"/>
      <c r="P71" s="59"/>
      <c r="Q71" s="59"/>
      <c r="R71" s="59">
        <v>98</v>
      </c>
      <c r="S71" s="59"/>
      <c r="T71" s="60">
        <f t="shared" si="16"/>
        <v>3920</v>
      </c>
      <c r="U71" s="60">
        <v>6</v>
      </c>
      <c r="X71">
        <f t="shared" si="17"/>
        <v>1</v>
      </c>
      <c r="Y71" s="2">
        <v>1</v>
      </c>
      <c r="Z71" s="2">
        <f>IF(K71&gt;0,F71/K71/X71*Conversion!$E$18,0)*Y71</f>
        <v>2261.0183607598706</v>
      </c>
      <c r="AA71" s="2">
        <f>IF(L71&gt;0,G71/L71/X71*Conversion!$E$18,0)*Y71</f>
        <v>0</v>
      </c>
      <c r="AB71" s="2">
        <f t="shared" si="18"/>
        <v>2261.0183607598706</v>
      </c>
      <c r="AC71" s="2">
        <f>(F71*T71)/365.26/Agriculture!$D$2</f>
        <v>42.700763207453655</v>
      </c>
      <c r="AD71" s="3">
        <f>SUM(Z71:AA71)*Conversion!$F$19</f>
        <v>0.55872024712737156</v>
      </c>
      <c r="AE71">
        <f t="shared" si="14"/>
        <v>14.8</v>
      </c>
      <c r="AF71" s="3">
        <f t="shared" si="19"/>
        <v>8.2690596574850996</v>
      </c>
      <c r="AG71">
        <f t="shared" si="21"/>
        <v>2261.0183607598706</v>
      </c>
    </row>
    <row r="72" spans="1:33" ht="18">
      <c r="A72" t="s">
        <v>409</v>
      </c>
      <c r="B72">
        <v>6</v>
      </c>
      <c r="C72">
        <v>1</v>
      </c>
      <c r="D72">
        <f t="shared" si="20"/>
        <v>3.9787961145802351</v>
      </c>
      <c r="F72" s="2">
        <f>IF(D72&gt;0,D72*Agriculture!$D$2+Agriculture!$E$16*E72,IF(E72&gt;0,0,Agriculture!$D$2*0.025))</f>
        <v>7957.5922291604702</v>
      </c>
      <c r="G72" s="2">
        <f>L72*1/Agriculture!$C$49*Agriculture!$E$16</f>
        <v>0</v>
      </c>
      <c r="J72">
        <v>28200</v>
      </c>
      <c r="K72" s="48">
        <f>IF(I72&gt;0,I72,J72/2000*Conversion!$D$23)</f>
        <v>31608.002571000001</v>
      </c>
      <c r="N72">
        <v>1</v>
      </c>
      <c r="O72" s="59"/>
      <c r="P72" s="59"/>
      <c r="Q72" s="59"/>
      <c r="R72" s="59">
        <v>89</v>
      </c>
      <c r="S72" s="59"/>
      <c r="T72" s="60">
        <f t="shared" si="16"/>
        <v>3560</v>
      </c>
      <c r="U72" s="60">
        <v>6</v>
      </c>
      <c r="X72">
        <f t="shared" si="17"/>
        <v>1</v>
      </c>
      <c r="Y72" s="2">
        <v>1</v>
      </c>
      <c r="Z72" s="2">
        <f>IF(K72&gt;0,F72/K72/X72*Conversion!$E$18,0)*Y72</f>
        <v>2517.5878201368773</v>
      </c>
      <c r="AA72" s="2">
        <f>IF(L72&gt;0,G72/L72/X72*Conversion!$E$18,0)*Y72</f>
        <v>0</v>
      </c>
      <c r="AB72" s="2">
        <f t="shared" si="18"/>
        <v>2517.5878201368773</v>
      </c>
      <c r="AC72" s="2">
        <f>(F72*T72)/365.26/Agriculture!$D$2</f>
        <v>38.779264545544642</v>
      </c>
      <c r="AD72" s="3">
        <f>SUM(Z72:AA72)*Conversion!$F$19</f>
        <v>0.62212112623402371</v>
      </c>
      <c r="AE72">
        <f t="shared" si="14"/>
        <v>14.8</v>
      </c>
      <c r="AF72" s="3">
        <f t="shared" si="19"/>
        <v>9.2073926682635516</v>
      </c>
      <c r="AG72">
        <f t="shared" si="21"/>
        <v>2517.5878201368773</v>
      </c>
    </row>
    <row r="73" spans="1:33" ht="18">
      <c r="A73" t="s">
        <v>418</v>
      </c>
      <c r="B73">
        <v>6</v>
      </c>
      <c r="C73">
        <v>2</v>
      </c>
      <c r="D73">
        <f t="shared" si="20"/>
        <v>7.9575922291604702</v>
      </c>
      <c r="F73" s="2">
        <f>IF(D73&gt;0,D73*Agriculture!$D$2+Agriculture!$E$16*E73,IF(E73&gt;0,0,Agriculture!$D$2*0.025))</f>
        <v>15915.18445832094</v>
      </c>
      <c r="G73" s="2">
        <f>L73*1/Agriculture!$C$49*Agriculture!$E$16</f>
        <v>0</v>
      </c>
      <c r="J73">
        <v>6900</v>
      </c>
      <c r="K73" s="48">
        <f>IF(I73&gt;0,I73,J73/2000*Conversion!$D$23)</f>
        <v>7733.8729695000011</v>
      </c>
      <c r="M73">
        <v>150</v>
      </c>
      <c r="O73" s="59"/>
      <c r="R73" s="59"/>
      <c r="S73" s="59"/>
      <c r="T73" s="60">
        <f t="shared" si="16"/>
        <v>0</v>
      </c>
      <c r="U73" s="60"/>
      <c r="V73">
        <v>0.31</v>
      </c>
      <c r="X73">
        <f t="shared" si="17"/>
        <v>2.4000000000000004</v>
      </c>
      <c r="Y73" s="2">
        <v>0.1</v>
      </c>
      <c r="Z73" s="2">
        <f>IF(K73&gt;0,F73/K73/X73*Conversion!$E$18,0)*Y73</f>
        <v>857.43933004661744</v>
      </c>
      <c r="AA73" s="2">
        <f>IF(L73&gt;0,G73/L73/X73*Conversion!$E$18,0)*Y73</f>
        <v>0</v>
      </c>
      <c r="AB73" s="2">
        <f t="shared" si="18"/>
        <v>265.80619231445138</v>
      </c>
      <c r="AC73" s="2">
        <f>(F73*T73)/365.26/Agriculture!$D$2</f>
        <v>0</v>
      </c>
      <c r="AD73" s="3">
        <f>SUM(Z73:AA73)*Conversion!$F$19</f>
        <v>0.21188183284781961</v>
      </c>
      <c r="AE73">
        <f t="shared" si="14"/>
        <v>14.8</v>
      </c>
      <c r="AF73" s="3">
        <f t="shared" si="19"/>
        <v>7.5260427027545544</v>
      </c>
      <c r="AG73">
        <f t="shared" si="21"/>
        <v>0</v>
      </c>
    </row>
    <row r="74" spans="1:33" ht="18">
      <c r="A74" t="s">
        <v>362</v>
      </c>
      <c r="B74">
        <v>6</v>
      </c>
      <c r="C74">
        <v>1</v>
      </c>
      <c r="D74">
        <f t="shared" si="20"/>
        <v>3.9787961145802351</v>
      </c>
      <c r="F74" s="2">
        <f>IF(D74&gt;0,D74*Agriculture!$D$2+Agriculture!$E$16*E74,IF(E74&gt;0,0,Agriculture!$D$2*0.025))</f>
        <v>7957.5922291604702</v>
      </c>
      <c r="G74" s="2">
        <f>L74*1/Agriculture!$C$49*Agriculture!$E$16</f>
        <v>0</v>
      </c>
      <c r="H74" t="s">
        <v>395</v>
      </c>
      <c r="I74">
        <v>6368</v>
      </c>
      <c r="K74" s="48">
        <f>IF(I74&gt;0,I74,J74/2000*Conversion!$D$23)</f>
        <v>6368</v>
      </c>
      <c r="N74">
        <v>1</v>
      </c>
      <c r="O74" s="59">
        <v>1.3</v>
      </c>
      <c r="P74" s="59">
        <v>0.37</v>
      </c>
      <c r="Q74" s="59">
        <v>0</v>
      </c>
      <c r="R74" s="59">
        <v>31.98</v>
      </c>
      <c r="S74" s="59">
        <v>842</v>
      </c>
      <c r="T74" s="60">
        <f t="shared" si="16"/>
        <v>1364.5000000000002</v>
      </c>
      <c r="U74" s="60">
        <v>6</v>
      </c>
      <c r="X74">
        <f t="shared" si="17"/>
        <v>1</v>
      </c>
      <c r="Y74" s="2">
        <v>1</v>
      </c>
      <c r="Z74" s="2">
        <f>IF(K74&gt;0,F74/K74/X74*Conversion!$E$18,0)*Y74</f>
        <v>12496.218952827372</v>
      </c>
      <c r="AA74" s="2">
        <f>IF(L74&gt;0,G74/L74/X74*Conversion!$E$18,0)*Y74</f>
        <v>0</v>
      </c>
      <c r="AB74" s="2">
        <f t="shared" si="18"/>
        <v>12496.218952827372</v>
      </c>
      <c r="AC74" s="2">
        <f>(F74*T74)/365.26/Agriculture!$D$2</f>
        <v>14.863569233819009</v>
      </c>
      <c r="AD74" s="3">
        <f>SUM(Z74:AA74)*Conversion!$F$19</f>
        <v>3.0879406654331718</v>
      </c>
      <c r="AE74">
        <f t="shared" si="14"/>
        <v>14.8</v>
      </c>
      <c r="AF74" s="3">
        <f t="shared" si="19"/>
        <v>45.701521848410948</v>
      </c>
      <c r="AG74">
        <f t="shared" si="21"/>
        <v>12496.218952827372</v>
      </c>
    </row>
    <row r="75" spans="1:33" ht="18">
      <c r="A75" t="s">
        <v>410</v>
      </c>
      <c r="B75">
        <v>6</v>
      </c>
      <c r="C75">
        <v>1</v>
      </c>
      <c r="D75">
        <f t="shared" si="20"/>
        <v>3.9787961145802351</v>
      </c>
      <c r="F75" s="2">
        <f>IF(D75&gt;0,D75*Agriculture!$D$2+Agriculture!$E$16*E75,IF(E75&gt;0,0,Agriculture!$D$2*0.025))</f>
        <v>7957.5922291604702</v>
      </c>
      <c r="G75" s="2">
        <f>L75*1/Agriculture!$C$49*Agriculture!$E$16</f>
        <v>0</v>
      </c>
      <c r="J75">
        <v>10400</v>
      </c>
      <c r="K75" s="48">
        <f>IF(I75&gt;0,I75,J75/2000*Conversion!$D$23)</f>
        <v>11656.852012000001</v>
      </c>
      <c r="N75">
        <v>1</v>
      </c>
      <c r="O75" s="59"/>
      <c r="P75" s="59"/>
      <c r="Q75" s="59"/>
      <c r="R75" s="59">
        <v>98</v>
      </c>
      <c r="S75" s="59"/>
      <c r="T75" s="60">
        <f t="shared" si="16"/>
        <v>3920</v>
      </c>
      <c r="U75" s="60">
        <v>6</v>
      </c>
      <c r="X75">
        <f t="shared" si="17"/>
        <v>1</v>
      </c>
      <c r="Y75" s="2">
        <v>1</v>
      </c>
      <c r="Z75" s="2">
        <f>IF(K75&gt;0,F75/K75/X75*Conversion!$E$18,0)*Y75</f>
        <v>6826.5362046019163</v>
      </c>
      <c r="AA75" s="2">
        <f>IF(L75&gt;0,G75/L75/X75*Conversion!$E$18,0)*Y75</f>
        <v>0</v>
      </c>
      <c r="AB75" s="2">
        <f t="shared" si="18"/>
        <v>6826.5362046019163</v>
      </c>
      <c r="AC75" s="2">
        <f>(F75*T75)/365.26/Agriculture!$D$2</f>
        <v>42.700763207453655</v>
      </c>
      <c r="AD75" s="3">
        <f>SUM(Z75:AA75)*Conversion!$F$19</f>
        <v>1.6869053615191794</v>
      </c>
      <c r="AE75">
        <f t="shared" si="14"/>
        <v>14.8</v>
      </c>
      <c r="AF75" s="3">
        <f t="shared" si="19"/>
        <v>24.966199350483855</v>
      </c>
      <c r="AG75">
        <f t="shared" si="21"/>
        <v>6826.5362046019163</v>
      </c>
    </row>
    <row r="76" spans="1:33" ht="18">
      <c r="A76" t="s">
        <v>378</v>
      </c>
      <c r="B76">
        <v>6</v>
      </c>
      <c r="C76">
        <v>0.1</v>
      </c>
      <c r="D76">
        <f t="shared" si="20"/>
        <v>0.39787961145802353</v>
      </c>
      <c r="F76" s="2">
        <f>IF(D76&gt;0,D76*Agriculture!$D$2+Agriculture!$E$16*E76,IF(E76&gt;0,0,Agriculture!$D$2*0.025))</f>
        <v>795.75922291604707</v>
      </c>
      <c r="G76" s="2">
        <f>L76*1/Agriculture!$C$49*Agriculture!$E$16</f>
        <v>0</v>
      </c>
      <c r="I76">
        <v>42368</v>
      </c>
      <c r="K76" s="48">
        <f>IF(I76&gt;0,I76,J76/2000*Conversion!$D$23)</f>
        <v>42368</v>
      </c>
      <c r="M76">
        <v>150</v>
      </c>
      <c r="O76" s="59">
        <v>1</v>
      </c>
      <c r="P76" s="59">
        <v>0.1</v>
      </c>
      <c r="Q76" s="59">
        <v>0</v>
      </c>
      <c r="R76" s="59">
        <v>6.5</v>
      </c>
      <c r="S76" s="59">
        <v>1270</v>
      </c>
      <c r="T76" s="60">
        <f t="shared" si="16"/>
        <v>309</v>
      </c>
      <c r="U76" s="60"/>
      <c r="V76" s="59">
        <v>0.31</v>
      </c>
      <c r="X76">
        <f t="shared" si="17"/>
        <v>2.4000000000000004</v>
      </c>
      <c r="Y76" s="2">
        <v>0.1</v>
      </c>
      <c r="Z76" s="2">
        <f>IF(K76&gt;0,F76/K76/X76*Conversion!$E$18,0)*Y76</f>
        <v>7.8258672319129108</v>
      </c>
      <c r="AA76" s="2">
        <f>IF(L76&gt;0,G76/L76/X76*Conversion!$E$18,0)*Y76</f>
        <v>0</v>
      </c>
      <c r="AB76" s="2">
        <f t="shared" si="18"/>
        <v>2.4260188418930024</v>
      </c>
      <c r="AC76" s="2">
        <f>(F76*T76)/365.26/Agriculture!$D$2</f>
        <v>0.33659530181385661</v>
      </c>
      <c r="AD76" s="3">
        <f>SUM(Z76:AA76)*Conversion!$F$19</f>
        <v>1.9338500516779993E-3</v>
      </c>
      <c r="AE76">
        <f t="shared" si="14"/>
        <v>14.8</v>
      </c>
      <c r="AF76" s="3">
        <f t="shared" si="19"/>
        <v>6.8690353835602541E-2</v>
      </c>
      <c r="AG76">
        <f t="shared" si="21"/>
        <v>0</v>
      </c>
    </row>
    <row r="77" spans="1:33" ht="18">
      <c r="A77" t="s">
        <v>425</v>
      </c>
      <c r="B77">
        <v>6</v>
      </c>
      <c r="C77">
        <v>0.1</v>
      </c>
      <c r="D77">
        <f t="shared" si="20"/>
        <v>0.39787961145802353</v>
      </c>
      <c r="F77" s="2">
        <f>IF(D77&gt;0,D77*Agriculture!$D$2+Agriculture!$E$16*E77,IF(E77&gt;0,0,Agriculture!$D$2*0.025))</f>
        <v>795.75922291604707</v>
      </c>
      <c r="G77" s="2">
        <f>L77*1/Agriculture!$C$49*Agriculture!$E$16</f>
        <v>0</v>
      </c>
      <c r="J77">
        <v>12000</v>
      </c>
      <c r="K77" s="48">
        <f>IF(I77&gt;0,I77,J77/2000*Conversion!$D$23)</f>
        <v>13450.21386</v>
      </c>
      <c r="O77" s="59"/>
      <c r="P77" s="59"/>
      <c r="Q77" s="59"/>
      <c r="R77" s="59"/>
      <c r="S77" s="59"/>
      <c r="T77" s="60">
        <f t="shared" si="16"/>
        <v>0</v>
      </c>
      <c r="U77" s="60"/>
      <c r="V77">
        <v>0.31</v>
      </c>
      <c r="X77">
        <f t="shared" si="17"/>
        <v>1</v>
      </c>
      <c r="Y77" s="2">
        <v>0.1</v>
      </c>
      <c r="Z77" s="2">
        <f>IF(K77&gt;0,F77/K77/X77*Conversion!$E$18,0)*Y77</f>
        <v>59.163313773216629</v>
      </c>
      <c r="AA77" s="2">
        <f>IF(L77&gt;0,G77/L77/X77*Conversion!$E$18,0)*Y77</f>
        <v>0</v>
      </c>
      <c r="AB77" s="2">
        <f t="shared" si="18"/>
        <v>18.340627269697155</v>
      </c>
      <c r="AC77" s="2">
        <f>(F77*T77)/365.26/Agriculture!$D$2</f>
        <v>0</v>
      </c>
      <c r="AD77" s="3">
        <f>SUM(Z77:AA77)*Conversion!$F$19</f>
        <v>1.461984646649956E-2</v>
      </c>
      <c r="AE77">
        <f t="shared" si="14"/>
        <v>14.8</v>
      </c>
      <c r="AF77" s="3">
        <f t="shared" si="19"/>
        <v>0.2163737277041935</v>
      </c>
      <c r="AG77">
        <f t="shared" si="21"/>
        <v>0</v>
      </c>
    </row>
    <row r="78" spans="1:33" ht="18">
      <c r="A78" t="s">
        <v>411</v>
      </c>
      <c r="B78">
        <v>6</v>
      </c>
      <c r="C78">
        <v>1</v>
      </c>
      <c r="D78">
        <f t="shared" si="20"/>
        <v>3.9787961145802351</v>
      </c>
      <c r="F78" s="2">
        <f>IF(D78&gt;0,D78*Agriculture!$D$2+Agriculture!$E$16*E78,IF(E78&gt;0,0,Agriculture!$D$2*0.025))</f>
        <v>7957.5922291604702</v>
      </c>
      <c r="G78" s="2">
        <f>L78*1/Agriculture!$C$49*Agriculture!$E$16</f>
        <v>0</v>
      </c>
      <c r="J78">
        <v>11000</v>
      </c>
      <c r="K78" s="48">
        <f>IF(I78&gt;0,I78,J78/2000*Conversion!$D$23)</f>
        <v>12329.362705000001</v>
      </c>
      <c r="M78">
        <v>150</v>
      </c>
      <c r="O78" s="59"/>
      <c r="P78" s="59"/>
      <c r="Q78" s="59"/>
      <c r="R78" s="59"/>
      <c r="S78" s="59"/>
      <c r="T78" s="60">
        <f t="shared" si="16"/>
        <v>0</v>
      </c>
      <c r="U78" s="60"/>
      <c r="V78">
        <v>0.31</v>
      </c>
      <c r="X78">
        <f t="shared" si="17"/>
        <v>2.4000000000000004</v>
      </c>
      <c r="Y78" s="2">
        <v>0.1</v>
      </c>
      <c r="Z78" s="2">
        <f>IF(K78&gt;0,F78/K78/X78*Conversion!$E$18,0)*Y78</f>
        <v>268.92415351462091</v>
      </c>
      <c r="AA78" s="2">
        <f>IF(L78&gt;0,G78/L78/X78*Conversion!$E$18,0)*Y78</f>
        <v>0</v>
      </c>
      <c r="AB78" s="2">
        <f t="shared" si="18"/>
        <v>83.366487589532483</v>
      </c>
      <c r="AC78" s="2">
        <f>(F78*T78)/365.26/Agriculture!$D$2</f>
        <v>0</v>
      </c>
      <c r="AD78" s="3">
        <f>SUM(Z78:AA78)*Conversion!$F$19</f>
        <v>6.6453847574997962E-2</v>
      </c>
      <c r="AE78">
        <f t="shared" si="14"/>
        <v>14.8</v>
      </c>
      <c r="AF78" s="3">
        <f t="shared" ref="AF78:AF109" si="22">X78*AD78*AE78</f>
        <v>2.3604406658639281</v>
      </c>
      <c r="AG78">
        <f t="shared" si="21"/>
        <v>0</v>
      </c>
    </row>
    <row r="79" spans="1:33" ht="18">
      <c r="A79" t="s">
        <v>420</v>
      </c>
      <c r="B79">
        <v>6</v>
      </c>
      <c r="C79">
        <v>1</v>
      </c>
      <c r="D79">
        <f t="shared" si="20"/>
        <v>3.9787961145802351</v>
      </c>
      <c r="F79" s="2">
        <f>IF(D79&gt;0,D79*Agriculture!$D$2+Agriculture!$E$16*E79,IF(E79&gt;0,0,Agriculture!$D$2*0.025))</f>
        <v>7957.5922291604702</v>
      </c>
      <c r="G79" s="2">
        <f>L79*1/Agriculture!$C$49*Agriculture!$E$16</f>
        <v>0</v>
      </c>
      <c r="J79">
        <v>9700</v>
      </c>
      <c r="K79" s="48">
        <f>IF(I79&gt;0,I79,J79/2000*Conversion!$D$23)</f>
        <v>10872.256203499999</v>
      </c>
      <c r="O79" s="59"/>
      <c r="P79" s="59"/>
      <c r="Q79" s="59"/>
      <c r="R79" s="59"/>
      <c r="S79" s="59"/>
      <c r="T79" s="60">
        <f t="shared" si="16"/>
        <v>0</v>
      </c>
      <c r="U79" s="60"/>
      <c r="V79">
        <v>0.31</v>
      </c>
      <c r="X79">
        <f t="shared" si="17"/>
        <v>1</v>
      </c>
      <c r="Y79" s="2">
        <v>0.1</v>
      </c>
      <c r="Z79" s="2">
        <f>IF(K79&gt;0,F79/K79/X79*Conversion!$E$18,0)*Y79</f>
        <v>731.91728379237065</v>
      </c>
      <c r="AA79" s="2">
        <f>IF(L79&gt;0,G79/L79/X79*Conversion!$E$18,0)*Y79</f>
        <v>0</v>
      </c>
      <c r="AB79" s="2">
        <f t="shared" si="18"/>
        <v>226.8943579756349</v>
      </c>
      <c r="AC79" s="2">
        <f>(F79*T79)/365.26/Agriculture!$D$2</f>
        <v>0</v>
      </c>
      <c r="AD79" s="3">
        <f>SUM(Z79:AA79)*Conversion!$F$19</f>
        <v>0.18086407999793269</v>
      </c>
      <c r="AE79">
        <f t="shared" si="14"/>
        <v>14.8</v>
      </c>
      <c r="AF79" s="3">
        <f t="shared" si="22"/>
        <v>2.676788383969404</v>
      </c>
      <c r="AG79">
        <f t="shared" si="21"/>
        <v>0</v>
      </c>
    </row>
    <row r="80" spans="1:33" ht="18">
      <c r="A80" t="s">
        <v>415</v>
      </c>
      <c r="B80">
        <v>6</v>
      </c>
      <c r="C80">
        <v>2</v>
      </c>
      <c r="D80">
        <f t="shared" si="20"/>
        <v>7.9575922291604702</v>
      </c>
      <c r="F80" s="2">
        <f>IF(D80&gt;0,D80*Agriculture!$D$2+Agriculture!$E$16*E80,IF(E80&gt;0,0,Agriculture!$D$2*0.025))</f>
        <v>15915.18445832094</v>
      </c>
      <c r="G80" s="2">
        <f>L80*1/Agriculture!$C$49*Agriculture!$E$16</f>
        <v>0</v>
      </c>
      <c r="J80">
        <v>11000</v>
      </c>
      <c r="K80" s="48">
        <f>IF(I80&gt;0,I80,J80/2000*Conversion!$D$23)</f>
        <v>12329.362705000001</v>
      </c>
      <c r="M80">
        <v>150</v>
      </c>
      <c r="O80" s="59"/>
      <c r="P80" s="59"/>
      <c r="Q80" s="59"/>
      <c r="R80" s="59"/>
      <c r="S80" s="59"/>
      <c r="T80" s="60">
        <f t="shared" si="16"/>
        <v>0</v>
      </c>
      <c r="U80" s="60"/>
      <c r="V80">
        <v>0.31</v>
      </c>
      <c r="X80">
        <f t="shared" si="17"/>
        <v>2.4000000000000004</v>
      </c>
      <c r="Y80" s="2">
        <v>0.1</v>
      </c>
      <c r="Z80" s="2">
        <f>IF(K80&gt;0,F80/K80/X80*Conversion!$E$18,0)*Y80</f>
        <v>537.84830702924182</v>
      </c>
      <c r="AA80" s="2">
        <f>IF(L80&gt;0,G80/L80/X80*Conversion!$E$18,0)*Y80</f>
        <v>0</v>
      </c>
      <c r="AB80" s="2">
        <f t="shared" si="18"/>
        <v>166.73297517906497</v>
      </c>
      <c r="AC80" s="2">
        <f>(F80*T80)/365.26/Agriculture!$D$2</f>
        <v>0</v>
      </c>
      <c r="AD80" s="3">
        <f>SUM(Z80:AA80)*Conversion!$F$19</f>
        <v>0.13290769514999592</v>
      </c>
      <c r="AE80">
        <f t="shared" si="14"/>
        <v>14.8</v>
      </c>
      <c r="AF80" s="3">
        <f t="shared" si="22"/>
        <v>4.7208813317278562</v>
      </c>
      <c r="AG80">
        <f t="shared" si="21"/>
        <v>0</v>
      </c>
    </row>
    <row r="81" spans="1:33" ht="18">
      <c r="A81" t="s">
        <v>426</v>
      </c>
      <c r="B81">
        <v>6</v>
      </c>
      <c r="C81">
        <v>1</v>
      </c>
      <c r="D81">
        <f t="shared" si="20"/>
        <v>3.9787961145802351</v>
      </c>
      <c r="F81" s="2">
        <f>IF(D81&gt;0,D81*Agriculture!$D$2+Agriculture!$E$16*E81,IF(E81&gt;0,0,Agriculture!$D$2*0.025))</f>
        <v>7957.5922291604702</v>
      </c>
      <c r="G81" s="2">
        <f>L81*1/Agriculture!$C$49*Agriculture!$E$16</f>
        <v>0</v>
      </c>
      <c r="J81">
        <v>10300</v>
      </c>
      <c r="K81" s="48">
        <f>IF(I81&gt;0,I81,J81/2000*Conversion!$D$23)</f>
        <v>11544.766896500001</v>
      </c>
      <c r="M81">
        <v>150</v>
      </c>
      <c r="T81" s="60">
        <f t="shared" si="16"/>
        <v>0</v>
      </c>
      <c r="U81" s="60"/>
      <c r="V81">
        <v>0.31</v>
      </c>
      <c r="X81">
        <f t="shared" si="17"/>
        <v>2.4000000000000004</v>
      </c>
      <c r="Y81" s="2">
        <v>0.1</v>
      </c>
      <c r="Z81" s="2">
        <f>IF(K81&gt;0,F81/K81/X81*Conversion!$E$18,0)*Y81</f>
        <v>287.20055229716797</v>
      </c>
      <c r="AA81" s="2">
        <f>IF(L81&gt;0,G81/L81/X81*Conversion!$E$18,0)*Y81</f>
        <v>0</v>
      </c>
      <c r="AB81" s="2">
        <f t="shared" si="18"/>
        <v>89.032171212122066</v>
      </c>
      <c r="AC81" s="2">
        <f>(F81*T81)/365.26/Agriculture!$D$2</f>
        <v>0</v>
      </c>
      <c r="AD81" s="3">
        <f>SUM(Z81:AA81)*Conversion!$F$19</f>
        <v>7.0970128478153177E-2</v>
      </c>
      <c r="AE81">
        <f t="shared" si="14"/>
        <v>14.8</v>
      </c>
      <c r="AF81" s="3">
        <f t="shared" si="22"/>
        <v>2.5208589635440015</v>
      </c>
      <c r="AG81">
        <f t="shared" si="21"/>
        <v>0</v>
      </c>
    </row>
    <row r="82" spans="1:33" ht="18">
      <c r="F82" s="2"/>
      <c r="G82" s="2"/>
      <c r="K82" s="48"/>
      <c r="O82" s="59"/>
      <c r="P82" s="59"/>
      <c r="Q82" s="59"/>
      <c r="R82" s="59"/>
      <c r="S82" s="59"/>
      <c r="T82" s="60"/>
      <c r="U82" s="60"/>
      <c r="Y82" s="2">
        <v>0.1</v>
      </c>
      <c r="Z82" s="2"/>
      <c r="AA82" s="2"/>
      <c r="AB82" s="2"/>
      <c r="AC82" s="2"/>
      <c r="AD82" s="3">
        <f>SUM(Z82:AA82)*Conversion!$F$19</f>
        <v>0</v>
      </c>
      <c r="AE82">
        <f t="shared" si="14"/>
        <v>14.8</v>
      </c>
      <c r="AF82" s="3">
        <f t="shared" si="22"/>
        <v>0</v>
      </c>
      <c r="AG82">
        <f t="shared" si="21"/>
        <v>0</v>
      </c>
    </row>
    <row r="83" spans="1:33" ht="18">
      <c r="A83" t="str">
        <f>Agriculture!B30</f>
        <v>Starchy Root</v>
      </c>
      <c r="B83">
        <f>COUNT(B84:B86)</f>
        <v>3</v>
      </c>
      <c r="C83">
        <f>SUM(C84:C86)</f>
        <v>2</v>
      </c>
      <c r="D83">
        <f>Agriculture!G30</f>
        <v>45.804518783542036</v>
      </c>
      <c r="F83" s="2"/>
      <c r="G83" s="2"/>
      <c r="K83" s="48"/>
      <c r="O83" s="59"/>
      <c r="P83" s="59"/>
      <c r="Q83" s="59"/>
      <c r="R83" s="59"/>
      <c r="S83" s="59"/>
      <c r="T83" s="60"/>
      <c r="U83" s="60"/>
      <c r="Y83" s="2">
        <v>0.1</v>
      </c>
      <c r="Z83" s="2"/>
      <c r="AA83" s="2"/>
      <c r="AB83" s="2"/>
      <c r="AC83" s="2"/>
      <c r="AD83" s="3">
        <f>SUM(Z83:AA83)*Conversion!$F$19</f>
        <v>0</v>
      </c>
      <c r="AE83">
        <f t="shared" si="14"/>
        <v>14.8</v>
      </c>
      <c r="AF83" s="3">
        <f t="shared" si="22"/>
        <v>0</v>
      </c>
      <c r="AG83">
        <f t="shared" si="21"/>
        <v>0</v>
      </c>
    </row>
    <row r="84" spans="1:33" ht="18">
      <c r="A84" t="s">
        <v>90</v>
      </c>
      <c r="B84">
        <v>7</v>
      </c>
      <c r="C84">
        <v>1</v>
      </c>
      <c r="D84">
        <f>$D$83*C84/$C$83</f>
        <v>22.902259391771018</v>
      </c>
      <c r="F84" s="2">
        <f>IF(D84&gt;0,D84*Agriculture!$D$2+Agriculture!$E$16*E84,IF(E84&gt;0,0,Agriculture!$D$2*0.025))</f>
        <v>45804.518783542037</v>
      </c>
      <c r="G84" s="2">
        <f>L84*1/Agriculture!$C$49*Agriculture!$E$16</f>
        <v>0</v>
      </c>
      <c r="H84" t="s">
        <v>395</v>
      </c>
      <c r="I84">
        <v>17268</v>
      </c>
      <c r="J84">
        <v>15200</v>
      </c>
      <c r="K84" s="48">
        <f>IF(I84&gt;0,I84,J84/2000*Conversion!$D$23)</f>
        <v>17268</v>
      </c>
      <c r="M84">
        <v>150</v>
      </c>
      <c r="O84" s="59">
        <v>2</v>
      </c>
      <c r="P84" s="59">
        <v>0.09</v>
      </c>
      <c r="Q84" s="59">
        <v>0</v>
      </c>
      <c r="R84" s="59">
        <v>17.47</v>
      </c>
      <c r="S84" s="59">
        <v>1318</v>
      </c>
      <c r="T84" s="60">
        <f>(O84*4+R84*4+P84*9+Q84*9)*10</f>
        <v>786.9</v>
      </c>
      <c r="U84" s="60"/>
      <c r="V84">
        <v>0.5</v>
      </c>
      <c r="W84">
        <v>1</v>
      </c>
      <c r="X84">
        <f>IF(N84&gt;0,1,IF(M84&gt;0,FLOOR(365.26/M84,0.1),1))</f>
        <v>2.4000000000000004</v>
      </c>
      <c r="Y84" s="2">
        <v>0.1</v>
      </c>
      <c r="Z84" s="2">
        <f>IF(K84&gt;0,F84/K84/X84*Conversion!$E$18,0)*Y84</f>
        <v>1105.2360528034039</v>
      </c>
      <c r="AA84" s="2">
        <f>IF(L84&gt;0,G84/L84/X84*Conversion!$E$18,0)*Y84</f>
        <v>0</v>
      </c>
      <c r="AB84" s="2">
        <f>(Z84+AA84)*IF(V84&gt;0,V84,1)</f>
        <v>552.61802640170197</v>
      </c>
      <c r="AC84" s="2">
        <f>(F84*T84)/365.26/Agriculture!$D$2</f>
        <v>49.339615384615378</v>
      </c>
      <c r="AD84" s="3">
        <f>SUM(Z84:AA84)*Conversion!$F$19</f>
        <v>0.27311488100824916</v>
      </c>
      <c r="AE84">
        <f t="shared" si="14"/>
        <v>14.8</v>
      </c>
      <c r="AF84" s="3">
        <f t="shared" si="22"/>
        <v>9.7010405734130103</v>
      </c>
      <c r="AG84">
        <f t="shared" si="21"/>
        <v>0</v>
      </c>
    </row>
    <row r="85" spans="1:33" ht="18">
      <c r="A85" t="s">
        <v>373</v>
      </c>
      <c r="B85">
        <v>7</v>
      </c>
      <c r="C85">
        <v>1</v>
      </c>
      <c r="D85">
        <f t="shared" ref="D85:D86" si="23">$D$83*C85/$C$83</f>
        <v>22.902259391771018</v>
      </c>
      <c r="F85" s="2">
        <f>IF(D85&gt;0,D85*Agriculture!$D$2+Agriculture!$E$16*E85,IF(E85&gt;0,0,Agriculture!$D$2*0.025))</f>
        <v>45804.518783542037</v>
      </c>
      <c r="G85" s="2">
        <f>L85*1/Agriculture!$C$49*Agriculture!$E$16</f>
        <v>0</v>
      </c>
      <c r="H85" t="s">
        <v>395</v>
      </c>
      <c r="I85">
        <v>13467</v>
      </c>
      <c r="J85">
        <v>6000</v>
      </c>
      <c r="K85" s="48">
        <f>IF(I85&gt;0,I85,J85/2000*Conversion!$D$23)</f>
        <v>13467</v>
      </c>
      <c r="M85">
        <v>150</v>
      </c>
      <c r="O85" s="59">
        <v>1.57</v>
      </c>
      <c r="P85" s="59">
        <v>0.05</v>
      </c>
      <c r="Q85" s="59">
        <v>0</v>
      </c>
      <c r="R85" s="59">
        <v>20.12</v>
      </c>
      <c r="S85" s="59">
        <v>1140</v>
      </c>
      <c r="T85" s="60">
        <f>(O85*4+R85*4+P85*9+Q85*9)*10</f>
        <v>872.10000000000014</v>
      </c>
      <c r="U85" s="60"/>
      <c r="V85" s="59">
        <v>0.5</v>
      </c>
      <c r="X85">
        <f>IF(N85&gt;0,1,IF(M85&gt;0,FLOOR(365.26/M85,0.1),1))</f>
        <v>2.4000000000000004</v>
      </c>
      <c r="Y85" s="2">
        <v>0.1</v>
      </c>
      <c r="Z85" s="2">
        <f>IF(K85&gt;0,F85/K85/X85*Conversion!$E$18,0)*Y85</f>
        <v>1417.1839429575391</v>
      </c>
      <c r="AA85" s="2">
        <f>IF(L85&gt;0,G85/L85/X85*Conversion!$E$18,0)*Y85</f>
        <v>0</v>
      </c>
      <c r="AB85" s="2">
        <f>(Z85+AA85)*IF(V85&gt;0,V85,1)</f>
        <v>708.59197147876955</v>
      </c>
      <c r="AC85" s="2">
        <f>(F85*T85)/365.26/Agriculture!$D$2</f>
        <v>54.681762075134174</v>
      </c>
      <c r="AD85" s="3">
        <f>SUM(Z85:AA85)*Conversion!$F$19</f>
        <v>0.35020032414423746</v>
      </c>
      <c r="AE85">
        <f t="shared" si="14"/>
        <v>14.8</v>
      </c>
      <c r="AF85" s="3">
        <f t="shared" si="22"/>
        <v>12.439115513603317</v>
      </c>
      <c r="AG85">
        <f t="shared" si="21"/>
        <v>0</v>
      </c>
    </row>
    <row r="86" spans="1:33" ht="18">
      <c r="A86" t="s">
        <v>377</v>
      </c>
      <c r="B86">
        <v>7</v>
      </c>
      <c r="C86">
        <v>0</v>
      </c>
      <c r="D86">
        <f t="shared" si="23"/>
        <v>0</v>
      </c>
      <c r="F86" s="2">
        <f>IF(D86&gt;0,D86*Agriculture!$D$2+Agriculture!$E$16*E86,IF(E86&gt;0,0,Agriculture!$D$2*0.025))</f>
        <v>50</v>
      </c>
      <c r="G86" s="2">
        <f>L86*1/Agriculture!$C$49*Agriculture!$E$16</f>
        <v>0</v>
      </c>
      <c r="I86">
        <v>10497</v>
      </c>
      <c r="K86" s="48">
        <f>IF(I86&gt;0,I86,J86/2000*Conversion!$D$23)</f>
        <v>10497</v>
      </c>
      <c r="M86">
        <v>150</v>
      </c>
      <c r="O86" s="59">
        <v>1.53</v>
      </c>
      <c r="P86" s="59">
        <v>0.17</v>
      </c>
      <c r="Q86" s="59">
        <v>0</v>
      </c>
      <c r="R86" s="59">
        <v>27.88</v>
      </c>
      <c r="S86" s="59">
        <v>1215</v>
      </c>
      <c r="T86" s="60">
        <f>(O86*4+R86*4+P86*9+Q86*9)*10</f>
        <v>1191.7</v>
      </c>
      <c r="U86" s="60"/>
      <c r="V86" s="59">
        <v>0.5</v>
      </c>
      <c r="X86">
        <f>IF(N86&gt;0,1,IF(M86&gt;0,FLOOR(365.26/M86,0.1),1))</f>
        <v>2.4000000000000004</v>
      </c>
      <c r="Y86" s="2">
        <v>0.1</v>
      </c>
      <c r="Z86" s="2">
        <f>IF(K86&gt;0,F86/K86/X86*Conversion!$E$18,0)*Y86</f>
        <v>1.9846940395668602</v>
      </c>
      <c r="AA86" s="2">
        <f>IF(L86&gt;0,G86/L86/X86*Conversion!$E$18,0)*Y86</f>
        <v>0</v>
      </c>
      <c r="AB86" s="2">
        <f>(Z86+AA86)*IF(V86&gt;0,V86,1)</f>
        <v>0.9923470197834301</v>
      </c>
      <c r="AC86" s="2">
        <f>(F86*T86)/365.26/Agriculture!$D$2</f>
        <v>8.1565186442534091E-2</v>
      </c>
      <c r="AD86" s="3">
        <f>SUM(Z86:AA86)*Conversion!$F$19</f>
        <v>4.9043774411736683E-4</v>
      </c>
      <c r="AE86">
        <f t="shared" ref="AE86:AE119" si="24">1.5+9.4+3.9</f>
        <v>14.8</v>
      </c>
      <c r="AF86" s="3">
        <f t="shared" si="22"/>
        <v>1.7420348671048875E-2</v>
      </c>
      <c r="AG86">
        <f t="shared" si="21"/>
        <v>0</v>
      </c>
    </row>
    <row r="87" spans="1:33" ht="18">
      <c r="F87" s="2"/>
      <c r="G87" s="2"/>
      <c r="K87" s="48"/>
      <c r="O87" s="59"/>
      <c r="P87" s="59"/>
      <c r="Q87" s="59"/>
      <c r="R87" s="59"/>
      <c r="S87" s="59"/>
      <c r="T87" s="60"/>
      <c r="U87" s="60"/>
      <c r="Y87" s="2">
        <v>0.1</v>
      </c>
      <c r="Z87" s="2"/>
      <c r="AA87" s="2"/>
      <c r="AB87" s="2"/>
      <c r="AC87" s="2"/>
      <c r="AD87" s="3">
        <f>SUM(Z87:AA87)*Conversion!$F$19</f>
        <v>0</v>
      </c>
      <c r="AE87">
        <f t="shared" si="24"/>
        <v>14.8</v>
      </c>
      <c r="AF87" s="3">
        <f t="shared" si="22"/>
        <v>0</v>
      </c>
      <c r="AG87">
        <f t="shared" si="21"/>
        <v>0</v>
      </c>
    </row>
    <row r="88" spans="1:33" ht="18">
      <c r="A88" t="str">
        <f>Agriculture!B31</f>
        <v>Pulses</v>
      </c>
      <c r="B88">
        <f>COUNT(B89:B98)</f>
        <v>10</v>
      </c>
      <c r="C88">
        <f>SUM(C89:C98)</f>
        <v>2.5</v>
      </c>
      <c r="D88">
        <f>Agriculture!G31</f>
        <v>19.390345679012345</v>
      </c>
      <c r="F88" s="2"/>
      <c r="G88" s="2"/>
      <c r="K88" s="48"/>
      <c r="O88" s="59"/>
      <c r="P88" s="59"/>
      <c r="Q88" s="59"/>
      <c r="R88" s="59"/>
      <c r="S88" s="59"/>
      <c r="T88" s="60"/>
      <c r="U88" s="60"/>
      <c r="Y88" s="2">
        <v>0.1</v>
      </c>
      <c r="Z88" s="2"/>
      <c r="AA88" s="2"/>
      <c r="AB88" s="2"/>
      <c r="AC88" s="2"/>
      <c r="AD88" s="3">
        <f>SUM(Z88:AA88)*Conversion!$F$19</f>
        <v>0</v>
      </c>
      <c r="AE88">
        <f t="shared" si="24"/>
        <v>14.8</v>
      </c>
      <c r="AF88" s="3">
        <f t="shared" si="22"/>
        <v>0</v>
      </c>
    </row>
    <row r="89" spans="1:33" ht="18">
      <c r="A89" t="s">
        <v>430</v>
      </c>
      <c r="B89">
        <v>8</v>
      </c>
      <c r="C89">
        <v>1</v>
      </c>
      <c r="D89">
        <f>$D$88*C89/$C$88</f>
        <v>7.7561382716049376</v>
      </c>
      <c r="F89" s="2">
        <f>IF(D89&gt;0,D89*Agriculture!$D$2+Agriculture!$E$16*E89,IF(E89&gt;0,0,Agriculture!$D$2*0.025))</f>
        <v>15512.276543209875</v>
      </c>
      <c r="G89" s="2">
        <f>L89*1/Agriculture!$C$49*Agriculture!$E$16</f>
        <v>0</v>
      </c>
      <c r="H89" t="s">
        <v>395</v>
      </c>
      <c r="I89">
        <v>729</v>
      </c>
      <c r="K89" s="48">
        <f>IF(I89&gt;0,I89,J89/2000*Conversion!$D$23)</f>
        <v>729</v>
      </c>
      <c r="M89">
        <v>60</v>
      </c>
      <c r="O89" s="59">
        <v>22</v>
      </c>
      <c r="P89">
        <v>0.81</v>
      </c>
      <c r="R89" s="59">
        <v>57.45</v>
      </c>
      <c r="S89" s="59">
        <v>229</v>
      </c>
      <c r="T89" s="60">
        <f t="shared" ref="T89:T98" si="25">(O89*4+R89*4+P89*9+Q89*9)*10</f>
        <v>3250.9000000000005</v>
      </c>
      <c r="U89" s="60"/>
      <c r="V89">
        <v>0.31</v>
      </c>
      <c r="X89">
        <f t="shared" ref="X89:X98" si="26">IF(N89&gt;0,1,IF(M89&gt;0,FLOOR(365.26/M89,0.1),1))</f>
        <v>6</v>
      </c>
      <c r="Y89" s="2">
        <v>0.1</v>
      </c>
      <c r="Z89" s="2">
        <f>IF(K89&gt;0,F89/K89/X89*Conversion!$E$18,0)*Y89</f>
        <v>3546.473832466821</v>
      </c>
      <c r="AA89" s="2">
        <f>IF(L89&gt;0,G89/L89/X89*Conversion!$E$18,0)*Y89</f>
        <v>0</v>
      </c>
      <c r="AB89" s="2">
        <f t="shared" ref="AB89:AB98" si="27">(Z89+AA89)*IF(V89&gt;0,V89,1)</f>
        <v>1099.4068880647146</v>
      </c>
      <c r="AC89" s="2">
        <f>(F89*T89)/365.26/Agriculture!$D$2</f>
        <v>69.031456790123457</v>
      </c>
      <c r="AD89" s="3">
        <f>SUM(Z89:AA89)*Conversion!$F$19</f>
        <v>0.87636914874087612</v>
      </c>
      <c r="AE89">
        <f t="shared" ref="AE89:AE98" si="28">24.4+12+4.7+9.4+6</f>
        <v>56.5</v>
      </c>
      <c r="AF89" s="3">
        <f t="shared" si="22"/>
        <v>297.089141423157</v>
      </c>
    </row>
    <row r="90" spans="1:33" ht="18">
      <c r="A90" t="s">
        <v>427</v>
      </c>
      <c r="B90">
        <v>8</v>
      </c>
      <c r="C90">
        <v>0</v>
      </c>
      <c r="D90">
        <f t="shared" ref="D90:D98" si="29">$D$88*C90/$C$88</f>
        <v>0</v>
      </c>
      <c r="F90" s="2">
        <f>IF(D90&gt;0,D90*Agriculture!$D$2+Agriculture!$E$16*E90,IF(E90&gt;0,0,Agriculture!$D$2*0.025))</f>
        <v>50</v>
      </c>
      <c r="G90" s="2">
        <f>L90*1/Agriculture!$C$49*Agriculture!$E$16</f>
        <v>0</v>
      </c>
      <c r="J90">
        <v>1400</v>
      </c>
      <c r="K90" s="48">
        <f>IF(I90&gt;0,I90,J90/2000*Conversion!$D$23)</f>
        <v>1569.191617</v>
      </c>
      <c r="M90">
        <v>60</v>
      </c>
      <c r="O90" s="59"/>
      <c r="R90" s="59"/>
      <c r="S90" s="59"/>
      <c r="T90" s="60">
        <f t="shared" si="25"/>
        <v>0</v>
      </c>
      <c r="U90" s="60"/>
      <c r="V90">
        <v>0.31</v>
      </c>
      <c r="X90">
        <f t="shared" si="26"/>
        <v>6</v>
      </c>
      <c r="Y90" s="2">
        <v>0.1</v>
      </c>
      <c r="Z90" s="2">
        <f>IF(K90&gt;0,F90/K90/X90*Conversion!$E$18,0)*Y90</f>
        <v>5.310590015300428</v>
      </c>
      <c r="AA90" s="2">
        <f>IF(L90&gt;0,G90/L90/X90*Conversion!$E$18,0)*Y90</f>
        <v>0</v>
      </c>
      <c r="AB90" s="2">
        <f t="shared" si="27"/>
        <v>1.6462829047431327</v>
      </c>
      <c r="AC90" s="2">
        <f>(F90*T90)/365.26/Agriculture!$D$2</f>
        <v>0</v>
      </c>
      <c r="AD90" s="3">
        <f>SUM(Z90:AA90)*Conversion!$F$19</f>
        <v>1.3122998986808887E-3</v>
      </c>
      <c r="AE90">
        <f t="shared" si="28"/>
        <v>56.5</v>
      </c>
      <c r="AF90" s="3">
        <f t="shared" si="22"/>
        <v>0.44486966565282127</v>
      </c>
    </row>
    <row r="91" spans="1:33" ht="18">
      <c r="A91" t="s">
        <v>428</v>
      </c>
      <c r="B91">
        <v>8</v>
      </c>
      <c r="D91">
        <f t="shared" si="29"/>
        <v>0</v>
      </c>
      <c r="F91" s="2">
        <f>IF(D91&gt;0,D91*Agriculture!$D$2+Agriculture!$E$16*E91,IF(E91&gt;0,0,Agriculture!$D$2*0.025))</f>
        <v>50</v>
      </c>
      <c r="G91" s="2">
        <f>L91*1/Agriculture!$C$49*Agriculture!$E$16</f>
        <v>0</v>
      </c>
      <c r="J91">
        <v>4600</v>
      </c>
      <c r="K91" s="48">
        <f>IF(I91&gt;0,I91,J91/2000*Conversion!$D$23)</f>
        <v>5155.9153129999995</v>
      </c>
      <c r="M91">
        <v>60</v>
      </c>
      <c r="O91" s="59"/>
      <c r="R91" s="59"/>
      <c r="S91" s="59"/>
      <c r="T91" s="60">
        <f t="shared" si="25"/>
        <v>0</v>
      </c>
      <c r="U91" s="60"/>
      <c r="V91">
        <v>0.31</v>
      </c>
      <c r="X91">
        <f t="shared" si="26"/>
        <v>6</v>
      </c>
      <c r="Y91" s="2">
        <v>0.1</v>
      </c>
      <c r="Z91" s="2">
        <f>IF(K91&gt;0,F91/K91/X91*Conversion!$E$18,0)*Y91</f>
        <v>1.6162665263957827</v>
      </c>
      <c r="AA91" s="2">
        <f>IF(L91&gt;0,G91/L91/X91*Conversion!$E$18,0)*Y91</f>
        <v>0</v>
      </c>
      <c r="AB91" s="2">
        <f t="shared" si="27"/>
        <v>0.50104262318269266</v>
      </c>
      <c r="AC91" s="2">
        <f>(F91*T91)/365.26/Agriculture!$D$2</f>
        <v>0</v>
      </c>
      <c r="AD91" s="3">
        <f>SUM(Z91:AA91)*Conversion!$F$19</f>
        <v>3.9939562133766186E-4</v>
      </c>
      <c r="AE91">
        <f t="shared" si="28"/>
        <v>56.5</v>
      </c>
      <c r="AF91" s="3">
        <f t="shared" si="22"/>
        <v>0.13539511563346737</v>
      </c>
    </row>
    <row r="92" spans="1:33" ht="18">
      <c r="A92" t="s">
        <v>429</v>
      </c>
      <c r="B92">
        <v>8</v>
      </c>
      <c r="C92">
        <v>0</v>
      </c>
      <c r="D92">
        <f t="shared" si="29"/>
        <v>0</v>
      </c>
      <c r="F92" s="2">
        <f>IF(D92&gt;0,D92*Agriculture!$D$2+Agriculture!$E$16*E92,IF(E92&gt;0,0,Agriculture!$D$2*0.025))</f>
        <v>50</v>
      </c>
      <c r="G92" s="2">
        <f>L92*1/Agriculture!$C$49*Agriculture!$E$16</f>
        <v>0</v>
      </c>
      <c r="H92" t="s">
        <v>395</v>
      </c>
      <c r="I92">
        <v>6918</v>
      </c>
      <c r="K92" s="48">
        <f>IF(I92&gt;0,I92,J92/2000*Conversion!$D$23)</f>
        <v>6918</v>
      </c>
      <c r="M92">
        <v>60</v>
      </c>
      <c r="O92" s="59">
        <v>1.83</v>
      </c>
      <c r="P92">
        <v>0.22</v>
      </c>
      <c r="R92" s="59">
        <v>6.97</v>
      </c>
      <c r="S92" s="59">
        <v>249</v>
      </c>
      <c r="T92" s="60">
        <f t="shared" si="25"/>
        <v>371.8</v>
      </c>
      <c r="U92" s="60"/>
      <c r="V92">
        <v>0.31</v>
      </c>
      <c r="X92">
        <f t="shared" si="26"/>
        <v>6</v>
      </c>
      <c r="Y92" s="2">
        <v>0.1</v>
      </c>
      <c r="Z92" s="2">
        <f>IF(K92&gt;0,F92/K92/X92*Conversion!$E$18,0)*Y92</f>
        <v>1.2045870675532429</v>
      </c>
      <c r="AA92" s="2">
        <f>IF(L92&gt;0,G92/L92/X92*Conversion!$E$18,0)*Y92</f>
        <v>0</v>
      </c>
      <c r="AB92" s="2">
        <f t="shared" si="27"/>
        <v>0.3734219909415053</v>
      </c>
      <c r="AC92" s="2">
        <f>(F92*T92)/365.26/Agriculture!$D$2</f>
        <v>2.5447626348354596E-2</v>
      </c>
      <c r="AD92" s="3">
        <f>SUM(Z92:AA92)*Conversion!$F$19</f>
        <v>2.976655102630818E-4</v>
      </c>
      <c r="AE92">
        <f t="shared" si="28"/>
        <v>56.5</v>
      </c>
      <c r="AF92" s="3">
        <f t="shared" si="22"/>
        <v>0.10090860797918473</v>
      </c>
    </row>
    <row r="93" spans="1:33" ht="18">
      <c r="A93" t="s">
        <v>353</v>
      </c>
      <c r="B93">
        <v>8</v>
      </c>
      <c r="C93">
        <v>0.5</v>
      </c>
      <c r="D93">
        <f t="shared" si="29"/>
        <v>3.8780691358024688</v>
      </c>
      <c r="F93" s="2">
        <f>IF(D93&gt;0,D93*Agriculture!$D$2+Agriculture!$E$16*E93,IF(E93&gt;0,0,Agriculture!$D$2*0.025))</f>
        <v>7756.1382716049375</v>
      </c>
      <c r="G93" s="2">
        <f>L93*1/Agriculture!$C$49*Agriculture!$E$16</f>
        <v>0</v>
      </c>
      <c r="H93" t="s">
        <v>395</v>
      </c>
      <c r="I93" s="59">
        <v>944</v>
      </c>
      <c r="J93" s="59"/>
      <c r="K93" s="48">
        <f>IF(I93&gt;0,I93,J93/2000*Conversion!$D$23)</f>
        <v>944</v>
      </c>
      <c r="L93" s="59"/>
      <c r="M93" s="59"/>
      <c r="N93" s="59"/>
      <c r="O93" s="59">
        <v>25.8</v>
      </c>
      <c r="P93" s="59">
        <v>1.06</v>
      </c>
      <c r="Q93" s="59">
        <v>48.7</v>
      </c>
      <c r="R93" s="59">
        <v>60.08</v>
      </c>
      <c r="S93" s="59">
        <v>322</v>
      </c>
      <c r="T93" s="60">
        <f t="shared" si="25"/>
        <v>7913.6</v>
      </c>
      <c r="U93" s="60"/>
      <c r="V93" s="59">
        <v>0.31</v>
      </c>
      <c r="X93">
        <f t="shared" si="26"/>
        <v>1</v>
      </c>
      <c r="Y93" s="2">
        <v>0.1</v>
      </c>
      <c r="Z93" s="2">
        <f>IF(K93&gt;0,F93/K93/X93*Conversion!$E$18,0)*Y93</f>
        <v>8216.2481690730274</v>
      </c>
      <c r="AA93" s="2">
        <f>IF(L93&gt;0,G93/L93/X93*Conversion!$E$18,0)*Y93</f>
        <v>0</v>
      </c>
      <c r="AB93" s="2">
        <f t="shared" si="27"/>
        <v>2547.0369324126386</v>
      </c>
      <c r="AC93" s="2">
        <f>(F93*T93)/365.26/Agriculture!$D$2</f>
        <v>84.020938271604933</v>
      </c>
      <c r="AD93" s="3">
        <f>SUM(Z93:AA93)*Conversion!$F$19</f>
        <v>2.0303170850596355</v>
      </c>
      <c r="AE93">
        <f t="shared" si="28"/>
        <v>56.5</v>
      </c>
      <c r="AF93" s="3">
        <f t="shared" si="22"/>
        <v>114.7129153058694</v>
      </c>
    </row>
    <row r="94" spans="1:33" ht="18">
      <c r="A94" t="s">
        <v>360</v>
      </c>
      <c r="B94">
        <v>8</v>
      </c>
      <c r="D94">
        <f t="shared" si="29"/>
        <v>0</v>
      </c>
      <c r="F94" s="2">
        <f>IF(D94&gt;0,D94*Agriculture!$D$2+Agriculture!$E$16*E94,IF(E94&gt;0,0,Agriculture!$D$2*0.025))</f>
        <v>50</v>
      </c>
      <c r="G94" s="2">
        <f>L94*1/Agriculture!$C$49*Agriculture!$E$16</f>
        <v>0</v>
      </c>
      <c r="H94" t="s">
        <v>395</v>
      </c>
      <c r="I94">
        <v>1658</v>
      </c>
      <c r="K94" s="48">
        <f>IF(I94&gt;0,I94,J94/2000*Conversion!$D$23)</f>
        <v>1658</v>
      </c>
      <c r="O94" s="59">
        <v>17.399999999999999</v>
      </c>
      <c r="P94" s="59">
        <v>1.3</v>
      </c>
      <c r="Q94" s="59">
        <v>0</v>
      </c>
      <c r="R94" s="59">
        <v>46.4</v>
      </c>
      <c r="S94" s="59">
        <v>428</v>
      </c>
      <c r="T94" s="60">
        <f t="shared" si="25"/>
        <v>2669</v>
      </c>
      <c r="U94" s="60"/>
      <c r="V94" s="59">
        <v>0.31</v>
      </c>
      <c r="X94">
        <f t="shared" si="26"/>
        <v>1</v>
      </c>
      <c r="Y94" s="2">
        <v>0.1</v>
      </c>
      <c r="Z94" s="2">
        <f>IF(K94&gt;0,F94/K94/X94*Conversion!$E$18,0)*Y94</f>
        <v>30.156815440289506</v>
      </c>
      <c r="AA94" s="2">
        <f>IF(L94&gt;0,G94/L94/X94*Conversion!$E$18,0)*Y94</f>
        <v>0</v>
      </c>
      <c r="AB94" s="2">
        <f t="shared" si="27"/>
        <v>9.3486127864897473</v>
      </c>
      <c r="AC94" s="2">
        <f>(F94*T94)/365.26/Agriculture!$D$2</f>
        <v>0.18267809231780102</v>
      </c>
      <c r="AD94" s="3">
        <f>SUM(Z94:AA94)*Conversion!$F$19</f>
        <v>7.4520506634499391E-3</v>
      </c>
      <c r="AE94">
        <f t="shared" si="28"/>
        <v>56.5</v>
      </c>
      <c r="AF94" s="3">
        <f t="shared" si="22"/>
        <v>0.42104086248492156</v>
      </c>
    </row>
    <row r="95" spans="1:33" ht="18">
      <c r="A95" t="s">
        <v>361</v>
      </c>
      <c r="B95">
        <v>8</v>
      </c>
      <c r="C95">
        <v>1</v>
      </c>
      <c r="D95">
        <f t="shared" si="29"/>
        <v>7.7561382716049376</v>
      </c>
      <c r="F95" s="2">
        <f>IF(D95&gt;0,D95*Agriculture!$D$2+Agriculture!$E$16*E95,IF(E95&gt;0,0,Agriculture!$D$2*0.025))</f>
        <v>15512.276543209875</v>
      </c>
      <c r="G95" s="2">
        <f>L95*1/Agriculture!$C$49*Agriculture!$E$16</f>
        <v>0</v>
      </c>
      <c r="H95" t="s">
        <v>395</v>
      </c>
      <c r="I95">
        <v>7388</v>
      </c>
      <c r="J95">
        <v>2200</v>
      </c>
      <c r="K95" s="48">
        <f>IF(I95&gt;0,I95,J95/2000*Conversion!$D$23)</f>
        <v>7388</v>
      </c>
      <c r="O95" s="59">
        <v>5.42</v>
      </c>
      <c r="P95" s="59">
        <v>0.4</v>
      </c>
      <c r="Q95" s="59">
        <v>0</v>
      </c>
      <c r="R95" s="59">
        <v>14.45</v>
      </c>
      <c r="S95" s="59">
        <v>593</v>
      </c>
      <c r="T95" s="60">
        <f t="shared" si="25"/>
        <v>830.79999999999984</v>
      </c>
      <c r="U95" s="60"/>
      <c r="V95" s="59">
        <v>0.31</v>
      </c>
      <c r="X95">
        <f t="shared" si="26"/>
        <v>1</v>
      </c>
      <c r="Y95" s="2">
        <v>0.1</v>
      </c>
      <c r="Z95" s="2">
        <f>IF(K95&gt;0,F95/K95/X95*Conversion!$E$18,0)*Y95</f>
        <v>2099.6584384420512</v>
      </c>
      <c r="AA95" s="2">
        <f>IF(L95&gt;0,G95/L95/X95*Conversion!$E$18,0)*Y95</f>
        <v>0</v>
      </c>
      <c r="AB95" s="2">
        <f t="shared" si="27"/>
        <v>650.89411591703583</v>
      </c>
      <c r="AC95" s="2">
        <f>(F95*T95)/365.26/Agriculture!$D$2</f>
        <v>17.641679012345673</v>
      </c>
      <c r="AD95" s="3">
        <f>SUM(Z95:AA95)*Conversion!$F$19</f>
        <v>0.51884659672341527</v>
      </c>
      <c r="AE95">
        <f t="shared" si="28"/>
        <v>56.5</v>
      </c>
      <c r="AF95" s="3">
        <f t="shared" si="22"/>
        <v>29.314832714872963</v>
      </c>
    </row>
    <row r="96" spans="1:33" ht="18">
      <c r="A96" t="s">
        <v>381</v>
      </c>
      <c r="B96">
        <v>8</v>
      </c>
      <c r="D96">
        <f t="shared" si="29"/>
        <v>0</v>
      </c>
      <c r="F96" s="2">
        <f>IF(D96&gt;0,D96*Agriculture!$D$2+Agriculture!$E$16*E96,IF(E96&gt;0,0,Agriculture!$D$2*0.025))</f>
        <v>50</v>
      </c>
      <c r="G96" s="2">
        <f>L96*1/Agriculture!$C$49*Agriculture!$E$16</f>
        <v>0</v>
      </c>
      <c r="I96">
        <v>10000</v>
      </c>
      <c r="K96" s="48">
        <f>IF(I96&gt;0,I96,J96/2000*Conversion!$D$23)</f>
        <v>10000</v>
      </c>
      <c r="O96" s="59">
        <v>6.95</v>
      </c>
      <c r="P96" s="59">
        <v>0.87</v>
      </c>
      <c r="Q96" s="59">
        <v>0</v>
      </c>
      <c r="R96" s="59">
        <v>4.3099999999999996</v>
      </c>
      <c r="S96" s="59">
        <v>508</v>
      </c>
      <c r="T96" s="60">
        <f t="shared" si="25"/>
        <v>528.69999999999993</v>
      </c>
      <c r="U96" s="60"/>
      <c r="V96" s="59">
        <v>0.31</v>
      </c>
      <c r="X96">
        <f t="shared" si="26"/>
        <v>1</v>
      </c>
      <c r="Y96" s="2">
        <v>0.1</v>
      </c>
      <c r="Z96" s="2">
        <f>IF(K96&gt;0,F96/K96/X96*Conversion!$E$18,0)*Y96</f>
        <v>5</v>
      </c>
      <c r="AA96" s="2">
        <f>IF(L96&gt;0,G96/L96/X96*Conversion!$E$18,0)*Y96</f>
        <v>0</v>
      </c>
      <c r="AB96" s="2">
        <f t="shared" si="27"/>
        <v>1.55</v>
      </c>
      <c r="AC96" s="2">
        <f>(F96*T96)/365.26/Agriculture!$D$2</f>
        <v>3.6186552045118538E-2</v>
      </c>
      <c r="AD96" s="3">
        <f>SUM(Z96:AA96)*Conversion!$F$19</f>
        <v>1.23555E-3</v>
      </c>
      <c r="AE96">
        <f t="shared" si="28"/>
        <v>56.5</v>
      </c>
      <c r="AF96" s="3">
        <f t="shared" si="22"/>
        <v>6.9808574999999998E-2</v>
      </c>
    </row>
    <row r="97" spans="1:32" ht="18">
      <c r="A97" t="s">
        <v>380</v>
      </c>
      <c r="B97">
        <v>8</v>
      </c>
      <c r="D97">
        <f t="shared" si="29"/>
        <v>0</v>
      </c>
      <c r="F97" s="2">
        <f>IF(D97&gt;0,D97*Agriculture!$D$2+Agriculture!$E$16*E97,IF(E97&gt;0,0,Agriculture!$D$2*0.025))</f>
        <v>50</v>
      </c>
      <c r="G97" s="2">
        <f>L97*1/Agriculture!$C$49*Agriculture!$E$16</f>
        <v>0</v>
      </c>
      <c r="I97">
        <v>729</v>
      </c>
      <c r="K97" s="48">
        <f>IF(I97&gt;0,I97,J97/2000*Conversion!$D$23)</f>
        <v>729</v>
      </c>
      <c r="O97" s="59">
        <v>29.65</v>
      </c>
      <c r="P97" s="59">
        <v>16.32</v>
      </c>
      <c r="Q97" s="59">
        <v>26.53</v>
      </c>
      <c r="R97" s="59">
        <v>41.71</v>
      </c>
      <c r="S97" s="59">
        <v>305</v>
      </c>
      <c r="T97" s="60">
        <f t="shared" si="25"/>
        <v>6710.9000000000005</v>
      </c>
      <c r="U97" s="60"/>
      <c r="V97" s="59">
        <v>0.31</v>
      </c>
      <c r="X97">
        <f t="shared" si="26"/>
        <v>1</v>
      </c>
      <c r="Y97" s="2">
        <v>0.1</v>
      </c>
      <c r="Z97" s="2">
        <f>IF(K97&gt;0,F97/K97/X97*Conversion!$E$18,0)*Y97</f>
        <v>68.587105624142666</v>
      </c>
      <c r="AA97" s="2">
        <f>IF(L97&gt;0,G97/L97/X97*Conversion!$E$18,0)*Y97</f>
        <v>0</v>
      </c>
      <c r="AB97" s="2">
        <f t="shared" si="27"/>
        <v>21.262002743484228</v>
      </c>
      <c r="AC97" s="2">
        <f>(F97*T97)/365.26/Agriculture!$D$2</f>
        <v>0.45932349559218089</v>
      </c>
      <c r="AD97" s="3">
        <f>SUM(Z97:AA97)*Conversion!$F$19</f>
        <v>1.6948559670781894E-2</v>
      </c>
      <c r="AE97">
        <f t="shared" si="28"/>
        <v>56.5</v>
      </c>
      <c r="AF97" s="3">
        <f t="shared" si="22"/>
        <v>0.95759362139917703</v>
      </c>
    </row>
    <row r="98" spans="1:32" ht="18">
      <c r="A98" t="s">
        <v>382</v>
      </c>
      <c r="B98">
        <v>8</v>
      </c>
      <c r="D98">
        <f t="shared" si="29"/>
        <v>0</v>
      </c>
      <c r="F98" s="2">
        <f>IF(D98&gt;0,D98*Agriculture!$D$2+Agriculture!$E$16*E98,IF(E98&gt;0,0,Agriculture!$D$2*0.025))</f>
        <v>50</v>
      </c>
      <c r="G98" s="2">
        <f>L98*1/Agriculture!$C$49*Agriculture!$E$16</f>
        <v>0</v>
      </c>
      <c r="I98">
        <v>5000</v>
      </c>
      <c r="K98" s="48">
        <f>IF(I98&gt;0,I98,J98/2000*Conversion!$D$23)</f>
        <v>5000</v>
      </c>
      <c r="O98" s="59">
        <v>11.6</v>
      </c>
      <c r="P98" s="59">
        <v>0.9</v>
      </c>
      <c r="Q98" s="59">
        <v>0</v>
      </c>
      <c r="R98" s="59">
        <v>28.1</v>
      </c>
      <c r="S98" s="59">
        <v>807</v>
      </c>
      <c r="T98" s="60">
        <f t="shared" si="25"/>
        <v>1669</v>
      </c>
      <c r="U98" s="60"/>
      <c r="V98" s="59">
        <v>0.31</v>
      </c>
      <c r="X98">
        <f t="shared" si="26"/>
        <v>1</v>
      </c>
      <c r="Y98" s="2">
        <v>0.1</v>
      </c>
      <c r="Z98" s="2">
        <f>IF(K98&gt;0,F98/K98/X98*Conversion!$E$18,0)*Y98</f>
        <v>10</v>
      </c>
      <c r="AA98" s="2">
        <f>IF(L98&gt;0,G98/L98/X98*Conversion!$E$18,0)*Y98</f>
        <v>0</v>
      </c>
      <c r="AB98" s="2">
        <f t="shared" si="27"/>
        <v>3.1</v>
      </c>
      <c r="AC98" s="2">
        <f>(F98*T98)/365.26/Agriculture!$D$2</f>
        <v>0.1142336965449269</v>
      </c>
      <c r="AD98" s="3">
        <f>SUM(Z98:AA98)*Conversion!$F$19</f>
        <v>2.4710999999999999E-3</v>
      </c>
      <c r="AE98">
        <f t="shared" si="28"/>
        <v>56.5</v>
      </c>
      <c r="AF98" s="3">
        <f t="shared" si="22"/>
        <v>0.13961715</v>
      </c>
    </row>
    <row r="99" spans="1:32" ht="18">
      <c r="F99" s="2"/>
      <c r="G99" s="2"/>
      <c r="K99" s="48"/>
      <c r="O99" s="59"/>
      <c r="P99" s="59"/>
      <c r="Q99" s="59"/>
      <c r="R99" s="59"/>
      <c r="S99" s="59"/>
      <c r="T99" s="60"/>
      <c r="U99" s="60"/>
      <c r="Y99" s="2">
        <v>0.1</v>
      </c>
      <c r="Z99" s="2"/>
      <c r="AA99" s="2"/>
      <c r="AB99" s="2"/>
      <c r="AC99" s="2"/>
      <c r="AD99" s="3">
        <f>SUM(Z99:AA99)*Conversion!$F$19</f>
        <v>0</v>
      </c>
      <c r="AE99">
        <f t="shared" si="24"/>
        <v>14.8</v>
      </c>
      <c r="AF99" s="3">
        <f t="shared" si="22"/>
        <v>0</v>
      </c>
    </row>
    <row r="100" spans="1:32" ht="18">
      <c r="A100" t="str">
        <f>Agriculture!B32</f>
        <v>Cereals &amp; Grains</v>
      </c>
      <c r="B100">
        <f>COUNT(B101:B112)</f>
        <v>12</v>
      </c>
      <c r="C100">
        <f>SUM(C101:C112)</f>
        <v>6.5</v>
      </c>
      <c r="D100">
        <f>Agriculture!G32</f>
        <v>310.87394036970784</v>
      </c>
      <c r="F100" s="2"/>
      <c r="G100" s="2"/>
      <c r="K100" s="48"/>
      <c r="O100" s="59"/>
      <c r="P100" s="59"/>
      <c r="Q100" s="59"/>
      <c r="R100" s="59"/>
      <c r="S100" s="59"/>
      <c r="T100" s="60"/>
      <c r="U100" s="60"/>
      <c r="Y100" s="2">
        <v>0.1</v>
      </c>
      <c r="Z100" s="2"/>
      <c r="AA100" s="2"/>
      <c r="AB100" s="2"/>
      <c r="AC100" s="2"/>
      <c r="AD100" s="3">
        <f>SUM(Z100:AA100)*Conversion!$F$19</f>
        <v>0</v>
      </c>
      <c r="AE100">
        <f t="shared" si="24"/>
        <v>14.8</v>
      </c>
      <c r="AF100" s="3">
        <f t="shared" si="22"/>
        <v>0</v>
      </c>
    </row>
    <row r="101" spans="1:32" ht="18">
      <c r="A101" t="s">
        <v>91</v>
      </c>
      <c r="B101">
        <v>9</v>
      </c>
      <c r="C101">
        <v>1</v>
      </c>
      <c r="D101">
        <f>$D$100*C101/$C$100</f>
        <v>47.826760056878129</v>
      </c>
      <c r="E101">
        <v>0.05</v>
      </c>
      <c r="F101" s="2">
        <f>IF(D101&gt;0,D101*Agriculture!$D$2+Agriculture!$E$16*E101,IF(E101&gt;0,0,Agriculture!$D$2*0.025))</f>
        <v>337117.05915586563</v>
      </c>
      <c r="G101" s="2">
        <f>L101*1/Agriculture!$C$49*Agriculture!$E$16</f>
        <v>144055.91018205872</v>
      </c>
      <c r="H101" t="s">
        <v>395</v>
      </c>
      <c r="I101">
        <v>2777</v>
      </c>
      <c r="K101" s="48">
        <f>IF(I101&gt;0,I101,J101/2000*Conversion!$D$23)</f>
        <v>2777</v>
      </c>
      <c r="L101">
        <f>I101</f>
        <v>2777</v>
      </c>
      <c r="O101" s="59">
        <v>12.48</v>
      </c>
      <c r="P101" s="59">
        <v>2.2999999999999998</v>
      </c>
      <c r="R101" s="59">
        <v>73.48</v>
      </c>
      <c r="S101" s="59">
        <v>982</v>
      </c>
      <c r="T101" s="60">
        <f t="shared" ref="T101:T112" si="30">(O101*4+R101*4+P101*9+Q101*9)*10</f>
        <v>3645.4</v>
      </c>
      <c r="U101" s="60"/>
      <c r="V101">
        <v>1.5</v>
      </c>
      <c r="W101">
        <v>1</v>
      </c>
      <c r="X101">
        <f t="shared" ref="X101:X112" si="31">IF(N101&gt;0,1,IF(M101&gt;0,FLOOR(365.26/M101,0.1),1))</f>
        <v>1</v>
      </c>
      <c r="Y101" s="2">
        <v>0.1</v>
      </c>
      <c r="Z101" s="2">
        <f>IF(K101&gt;0,F101/K101/X101*Conversion!$E$18,0)*Y101</f>
        <v>121396.13221313132</v>
      </c>
      <c r="AA101" s="2">
        <f>IF(L101&gt;0,G101/L101/X101*Conversion!$E$18,0)*Y101</f>
        <v>51874.652568260259</v>
      </c>
      <c r="AB101" s="2">
        <f t="shared" ref="AB101:AB112" si="32">(Z101+AA101)*IF(V101&gt;0,V101,1)</f>
        <v>259906.17717208737</v>
      </c>
      <c r="AC101" s="2">
        <f>(F101*T101)/365.26/Agriculture!$D$2</f>
        <v>1682.2626724070424</v>
      </c>
      <c r="AD101" s="3">
        <f>SUM(Z101:AA101)*Conversion!$F$19</f>
        <v>42.816943627329671</v>
      </c>
      <c r="AE101">
        <f>24.4+11+4.7+9.4+6</f>
        <v>55.5</v>
      </c>
      <c r="AF101" s="3">
        <f t="shared" si="22"/>
        <v>2376.3403713167968</v>
      </c>
    </row>
    <row r="102" spans="1:32" ht="18">
      <c r="A102" t="s">
        <v>354</v>
      </c>
      <c r="B102">
        <v>9</v>
      </c>
      <c r="C102">
        <v>1</v>
      </c>
      <c r="D102">
        <f t="shared" ref="D102:D112" si="33">$D$100*C102/$C$100</f>
        <v>47.826760056878129</v>
      </c>
      <c r="F102" s="2">
        <f>IF(D102&gt;0,D102*Agriculture!$D$2+Agriculture!$E$16*E102,IF(E102&gt;0,0,Agriculture!$D$2*0.025))</f>
        <v>95653.520113756254</v>
      </c>
      <c r="G102" s="2">
        <f>L102*1/Agriculture!$C$49*Agriculture!$E$16</f>
        <v>265027.59997124161</v>
      </c>
      <c r="H102" t="s">
        <v>395</v>
      </c>
      <c r="I102">
        <v>5109</v>
      </c>
      <c r="J102">
        <v>6200</v>
      </c>
      <c r="K102" s="48">
        <f>IF(I102&gt;0,I102,J102/2000*Conversion!$D$23)</f>
        <v>5109</v>
      </c>
      <c r="L102">
        <f>I102</f>
        <v>5109</v>
      </c>
      <c r="M102">
        <v>150</v>
      </c>
      <c r="O102" s="59">
        <v>8.1199999999999992</v>
      </c>
      <c r="P102" s="59">
        <v>3.59</v>
      </c>
      <c r="Q102" s="59">
        <v>45.6</v>
      </c>
      <c r="R102" s="59">
        <v>76.89</v>
      </c>
      <c r="S102" s="60">
        <v>1847</v>
      </c>
      <c r="T102" s="60">
        <f t="shared" si="30"/>
        <v>7827.5</v>
      </c>
      <c r="U102" s="60"/>
      <c r="V102" s="60">
        <v>0.31</v>
      </c>
      <c r="X102">
        <f t="shared" si="31"/>
        <v>2.4000000000000004</v>
      </c>
      <c r="Y102" s="2">
        <v>0.1</v>
      </c>
      <c r="Z102" s="2">
        <f>IF(K102&gt;0,F102/K102/X102*Conversion!$E$18,0)*Y102</f>
        <v>7801.0634920203102</v>
      </c>
      <c r="AA102" s="2">
        <f>IF(L102&gt;0,G102/L102/X102*Conversion!$E$18,0)*Y102</f>
        <v>21614.438570108436</v>
      </c>
      <c r="AB102" s="2">
        <f t="shared" si="32"/>
        <v>9118.8056392599119</v>
      </c>
      <c r="AC102" s="2">
        <f>(F102*T102)/365.26/Agriculture!$D$2</f>
        <v>1024.9246135498372</v>
      </c>
      <c r="AD102" s="3">
        <f>SUM(Z102:AA102)*Conversion!$F$19</f>
        <v>7.2688647145726346</v>
      </c>
      <c r="AE102">
        <f>24.4+11+4.7+9.4+6</f>
        <v>55.5</v>
      </c>
      <c r="AF102" s="3">
        <f t="shared" si="22"/>
        <v>968.21277998107496</v>
      </c>
    </row>
    <row r="103" spans="1:32" ht="18">
      <c r="A103" t="s">
        <v>356</v>
      </c>
      <c r="B103">
        <v>9</v>
      </c>
      <c r="C103">
        <v>0</v>
      </c>
      <c r="D103">
        <f t="shared" si="33"/>
        <v>0</v>
      </c>
      <c r="F103" s="2">
        <f>IF(D103&gt;0,D103*Agriculture!$D$2+Agriculture!$E$16*E103,IF(E103&gt;0,0,Agriculture!$D$2*0.025))</f>
        <v>50</v>
      </c>
      <c r="G103" s="2">
        <f>L103*1/Agriculture!$C$49*Agriculture!$E$16</f>
        <v>0</v>
      </c>
      <c r="H103" t="s">
        <v>395</v>
      </c>
      <c r="I103">
        <v>4309</v>
      </c>
      <c r="K103" s="48">
        <f>IF(I103&gt;0,I103,J103/2000*Conversion!$D$23)</f>
        <v>4309</v>
      </c>
      <c r="O103" s="59">
        <v>11</v>
      </c>
      <c r="P103" s="59">
        <v>0.66</v>
      </c>
      <c r="Q103" s="59">
        <v>0</v>
      </c>
      <c r="R103" s="59">
        <v>75</v>
      </c>
      <c r="S103" s="59">
        <v>1462</v>
      </c>
      <c r="T103" s="60">
        <f t="shared" si="30"/>
        <v>3499.4</v>
      </c>
      <c r="U103" s="60"/>
      <c r="V103" s="59">
        <v>0.31</v>
      </c>
      <c r="X103">
        <f t="shared" si="31"/>
        <v>1</v>
      </c>
      <c r="Y103" s="2">
        <v>0.1</v>
      </c>
      <c r="Z103" s="2">
        <f>IF(K103&gt;0,F103/K103/X103*Conversion!$E$18,0)*Y103</f>
        <v>11.603620329542817</v>
      </c>
      <c r="AA103" s="2">
        <f>IF(L103&gt;0,G103/L103/X103*Conversion!$E$18,0)*Y103</f>
        <v>0</v>
      </c>
      <c r="AB103" s="2">
        <f t="shared" si="32"/>
        <v>3.5971223021582732</v>
      </c>
      <c r="AC103" s="2">
        <f>(F103*T103)/365.26/Agriculture!$D$2</f>
        <v>0.2395143185675957</v>
      </c>
      <c r="AD103" s="3">
        <f>SUM(Z103:AA103)*Conversion!$F$19</f>
        <v>2.8673706196333253E-3</v>
      </c>
      <c r="AE103">
        <f>46.7+18.2+17.6+6.7+24.4+10.5+9.4</f>
        <v>133.5</v>
      </c>
      <c r="AF103" s="3">
        <f t="shared" si="22"/>
        <v>0.38279397772104895</v>
      </c>
    </row>
    <row r="104" spans="1:32" ht="18">
      <c r="A104" t="s">
        <v>336</v>
      </c>
      <c r="B104">
        <v>9</v>
      </c>
      <c r="C104">
        <v>1</v>
      </c>
      <c r="D104">
        <f t="shared" si="33"/>
        <v>47.826760056878129</v>
      </c>
      <c r="F104" s="2">
        <f>IF(D104&gt;0,D104*Agriculture!$D$2+Agriculture!$E$16*E104,IF(E104&gt;0,0,Agriculture!$D$2*0.025))</f>
        <v>95653.520113756254</v>
      </c>
      <c r="G104" s="2">
        <f>L104*1/Agriculture!$C$49*Agriculture!$E$16</f>
        <v>354044.50377837615</v>
      </c>
      <c r="H104" t="s">
        <v>395</v>
      </c>
      <c r="I104">
        <v>2275</v>
      </c>
      <c r="K104" s="48">
        <f>IF(I104&gt;0,I104,J104/2000*Conversion!$D$23)</f>
        <v>2275</v>
      </c>
      <c r="L104">
        <f>I104*3</f>
        <v>6825</v>
      </c>
      <c r="O104" s="59">
        <v>16.89</v>
      </c>
      <c r="P104" s="59">
        <v>6.9</v>
      </c>
      <c r="Q104" s="59">
        <v>37</v>
      </c>
      <c r="R104" s="59">
        <v>66.27</v>
      </c>
      <c r="S104" s="59">
        <v>871</v>
      </c>
      <c r="T104" s="60">
        <f t="shared" si="30"/>
        <v>7277.4</v>
      </c>
      <c r="U104" s="60"/>
      <c r="V104" s="59">
        <v>0.31</v>
      </c>
      <c r="X104">
        <f t="shared" si="31"/>
        <v>1</v>
      </c>
      <c r="Y104" s="2">
        <v>0.1</v>
      </c>
      <c r="Z104" s="2">
        <f>IF(K104&gt;0,F104/K104/X104*Conversion!$E$18,0)*Y104</f>
        <v>42045.503346706049</v>
      </c>
      <c r="AA104" s="2">
        <f>IF(L104&gt;0,G104/L104/X104*Conversion!$E$18,0)*Y104</f>
        <v>51874.652568260244</v>
      </c>
      <c r="AB104" s="2">
        <f t="shared" si="32"/>
        <v>29115.248333639553</v>
      </c>
      <c r="AC104" s="2">
        <f>(F104*T104)/365.26/Agriculture!$D$2</f>
        <v>952.89509838998208</v>
      </c>
      <c r="AD104" s="3">
        <f>SUM(Z104:AA104)*Conversion!$F$19</f>
        <v>23.208609728147319</v>
      </c>
      <c r="AE104">
        <f t="shared" ref="AE104:AE112" si="34">24.4+11+4.7+9.4+6</f>
        <v>55.5</v>
      </c>
      <c r="AF104" s="3">
        <f t="shared" si="22"/>
        <v>1288.0778399121762</v>
      </c>
    </row>
    <row r="105" spans="1:32" ht="18">
      <c r="A105" t="s">
        <v>101</v>
      </c>
      <c r="B105">
        <v>9</v>
      </c>
      <c r="C105">
        <v>0</v>
      </c>
      <c r="D105">
        <f t="shared" si="33"/>
        <v>0</v>
      </c>
      <c r="F105" s="2">
        <f>IF(D105&gt;0,D105*Agriculture!$D$2+Agriculture!$E$16*E105,IF(E105&gt;0,0,Agriculture!$D$2*0.025))</f>
        <v>50</v>
      </c>
      <c r="G105" s="2">
        <f>L105*1/Agriculture!$C$49*Agriculture!$E$16</f>
        <v>0</v>
      </c>
      <c r="H105" t="s">
        <v>395</v>
      </c>
      <c r="I105">
        <v>770</v>
      </c>
      <c r="K105" s="48">
        <f>IF(I105&gt;0,I105,J105/2000*Conversion!$D$23)</f>
        <v>770</v>
      </c>
      <c r="O105" s="59">
        <v>14.12</v>
      </c>
      <c r="P105" s="59">
        <v>6.07</v>
      </c>
      <c r="Q105" s="59">
        <v>0</v>
      </c>
      <c r="R105" s="59">
        <v>64.16</v>
      </c>
      <c r="S105" s="59">
        <v>275</v>
      </c>
      <c r="T105" s="60">
        <f t="shared" si="30"/>
        <v>3677.5</v>
      </c>
      <c r="U105" s="60"/>
      <c r="V105" s="59">
        <v>0.31</v>
      </c>
      <c r="W105">
        <v>1</v>
      </c>
      <c r="X105">
        <f t="shared" si="31"/>
        <v>1</v>
      </c>
      <c r="Y105" s="2">
        <v>0.1</v>
      </c>
      <c r="Z105" s="2">
        <f>IF(K105&gt;0,F105/K105/X105*Conversion!$E$18,0)*Y105</f>
        <v>64.935064935064929</v>
      </c>
      <c r="AA105" s="2">
        <f>IF(L105&gt;0,G105/L105/X105*Conversion!$E$18,0)*Y105</f>
        <v>0</v>
      </c>
      <c r="AB105" s="2">
        <f t="shared" si="32"/>
        <v>20.129870129870127</v>
      </c>
      <c r="AC105" s="2">
        <f>(F105*T105)/365.26/Agriculture!$D$2</f>
        <v>0.25170426545474456</v>
      </c>
      <c r="AD105" s="3">
        <f>SUM(Z105:AA105)*Conversion!$F$19</f>
        <v>1.6046103896103895E-2</v>
      </c>
      <c r="AE105">
        <f t="shared" si="34"/>
        <v>55.5</v>
      </c>
      <c r="AF105" s="3">
        <f t="shared" si="22"/>
        <v>0.89055876623376617</v>
      </c>
    </row>
    <row r="106" spans="1:32" ht="18">
      <c r="A106" t="s">
        <v>364</v>
      </c>
      <c r="B106">
        <v>9</v>
      </c>
      <c r="C106">
        <v>1</v>
      </c>
      <c r="D106">
        <f t="shared" si="33"/>
        <v>47.826760056878129</v>
      </c>
      <c r="F106" s="2">
        <f>IF(D106&gt;0,D106*Agriculture!$D$2+Agriculture!$E$16*E106,IF(E106&gt;0,0,Agriculture!$D$2*0.025))</f>
        <v>95653.520113756254</v>
      </c>
      <c r="G106" s="2">
        <f>L106*1/Agriculture!$C$49*Agriculture!$E$16</f>
        <v>0</v>
      </c>
      <c r="H106" t="s">
        <v>395</v>
      </c>
      <c r="I106">
        <v>4309</v>
      </c>
      <c r="K106" s="48">
        <f>IF(I106&gt;0,I106,J106/2000*Conversion!$D$23)</f>
        <v>4309</v>
      </c>
      <c r="O106" s="59">
        <v>7.13</v>
      </c>
      <c r="P106" s="59">
        <v>0.66</v>
      </c>
      <c r="Q106" s="59">
        <v>0</v>
      </c>
      <c r="R106" s="59">
        <v>79.95</v>
      </c>
      <c r="S106" s="59">
        <v>1482</v>
      </c>
      <c r="T106" s="60">
        <f t="shared" si="30"/>
        <v>3542.6</v>
      </c>
      <c r="U106" s="60"/>
      <c r="V106" s="59">
        <v>0.31</v>
      </c>
      <c r="W106">
        <v>1</v>
      </c>
      <c r="X106">
        <f t="shared" si="31"/>
        <v>1</v>
      </c>
      <c r="Y106" s="2">
        <v>0.1</v>
      </c>
      <c r="Z106" s="2">
        <f>IF(K106&gt;0,F106/K106/X106*Conversion!$E$18,0)*Y106</f>
        <v>22198.542611686298</v>
      </c>
      <c r="AA106" s="2">
        <f>IF(L106&gt;0,G106/L106/X106*Conversion!$E$18,0)*Y106</f>
        <v>0</v>
      </c>
      <c r="AB106" s="2">
        <f t="shared" si="32"/>
        <v>6881.5482096227524</v>
      </c>
      <c r="AC106" s="2">
        <f>(F106*T106)/365.26/Agriculture!$D$2</f>
        <v>463.86431631576539</v>
      </c>
      <c r="AD106" s="3">
        <f>SUM(Z106:AA106)*Conversion!$F$19</f>
        <v>5.4854818647738011</v>
      </c>
      <c r="AE106">
        <f t="shared" si="34"/>
        <v>55.5</v>
      </c>
      <c r="AF106" s="3">
        <f t="shared" si="22"/>
        <v>304.44424349494597</v>
      </c>
    </row>
    <row r="107" spans="1:32" ht="18">
      <c r="A107" t="s">
        <v>365</v>
      </c>
      <c r="B107">
        <v>9</v>
      </c>
      <c r="C107">
        <v>1</v>
      </c>
      <c r="D107">
        <f t="shared" si="33"/>
        <v>47.826760056878129</v>
      </c>
      <c r="F107" s="2">
        <f>IF(D107&gt;0,D107*Agriculture!$D$2+Agriculture!$E$16*E107,IF(E107&gt;0,0,Agriculture!$D$2*0.025))</f>
        <v>95653.520113756254</v>
      </c>
      <c r="G107" s="2">
        <f>L107*1/Agriculture!$C$49*Agriculture!$E$16</f>
        <v>0</v>
      </c>
      <c r="H107" t="s">
        <v>395</v>
      </c>
      <c r="I107">
        <v>2622</v>
      </c>
      <c r="K107" s="48">
        <f>IF(I107&gt;0,I107,J107/2000*Conversion!$D$23)</f>
        <v>2622</v>
      </c>
      <c r="O107" s="59">
        <v>10.34</v>
      </c>
      <c r="P107" s="59">
        <v>1.63</v>
      </c>
      <c r="Q107" s="59">
        <v>0</v>
      </c>
      <c r="R107" s="59">
        <v>75.86</v>
      </c>
      <c r="S107" s="59">
        <v>914</v>
      </c>
      <c r="T107" s="60">
        <f t="shared" si="30"/>
        <v>3594.7000000000003</v>
      </c>
      <c r="U107" s="60"/>
      <c r="V107" s="59">
        <v>0.31</v>
      </c>
      <c r="X107">
        <f t="shared" si="31"/>
        <v>1</v>
      </c>
      <c r="Y107" s="2">
        <v>0.1</v>
      </c>
      <c r="Z107" s="2">
        <f>IF(K107&gt;0,F107/K107/X107*Conversion!$E$18,0)*Y107</f>
        <v>36481.128952614898</v>
      </c>
      <c r="AA107" s="2">
        <f>IF(L107&gt;0,G107/L107/X107*Conversion!$E$18,0)*Y107</f>
        <v>0</v>
      </c>
      <c r="AB107" s="2">
        <f t="shared" si="32"/>
        <v>11309.149975310618</v>
      </c>
      <c r="AC107" s="2">
        <f>(F107*T107)/365.26/Agriculture!$D$2</f>
        <v>470.68623549378469</v>
      </c>
      <c r="AD107" s="3">
        <f>SUM(Z107:AA107)*Conversion!$F$19</f>
        <v>9.0148517754806665</v>
      </c>
      <c r="AE107">
        <f t="shared" si="34"/>
        <v>55.5</v>
      </c>
      <c r="AF107" s="3">
        <f t="shared" si="22"/>
        <v>500.324273539177</v>
      </c>
    </row>
    <row r="108" spans="1:32" ht="18">
      <c r="A108" t="s">
        <v>370</v>
      </c>
      <c r="B108">
        <v>9</v>
      </c>
      <c r="C108">
        <v>0</v>
      </c>
      <c r="D108">
        <f t="shared" si="33"/>
        <v>0</v>
      </c>
      <c r="F108" s="2">
        <f>IF(D108&gt;0,D108*Agriculture!$D$2+Agriculture!$E$16*E108,IF(E108&gt;0,0,Agriculture!$D$2*0.025))</f>
        <v>50</v>
      </c>
      <c r="G108" s="2">
        <f>L108*1/Agriculture!$C$49*Agriculture!$E$16</f>
        <v>0</v>
      </c>
      <c r="H108" t="s">
        <v>395</v>
      </c>
      <c r="I108">
        <v>3379</v>
      </c>
      <c r="K108" s="48">
        <f>IF(I108&gt;0,I108,J108/2000*Conversion!$D$23)</f>
        <v>3379</v>
      </c>
      <c r="O108" s="59">
        <v>14.57</v>
      </c>
      <c r="P108" s="59">
        <v>2.4300000000000002</v>
      </c>
      <c r="Q108" s="59">
        <v>51.77</v>
      </c>
      <c r="R108" s="59">
        <v>70.19</v>
      </c>
      <c r="S108" s="59">
        <v>1182</v>
      </c>
      <c r="T108" s="60">
        <f t="shared" si="30"/>
        <v>8268.4</v>
      </c>
      <c r="U108" s="60"/>
      <c r="V108" s="59">
        <v>0.31</v>
      </c>
      <c r="X108">
        <f t="shared" si="31"/>
        <v>1</v>
      </c>
      <c r="Y108" s="2">
        <v>0.1</v>
      </c>
      <c r="Z108" s="2">
        <f>IF(K108&gt;0,F108/K108/X108*Conversion!$E$18,0)*Y108</f>
        <v>14.797277300976621</v>
      </c>
      <c r="AA108" s="2">
        <f>IF(L108&gt;0,G108/L108/X108*Conversion!$E$18,0)*Y108</f>
        <v>0</v>
      </c>
      <c r="AB108" s="2">
        <f t="shared" si="32"/>
        <v>4.5871559633027523</v>
      </c>
      <c r="AC108" s="2">
        <f>(F108*T108)/365.26/Agriculture!$D$2</f>
        <v>0.56592564200843243</v>
      </c>
      <c r="AD108" s="3">
        <f>SUM(Z108:AA108)*Conversion!$F$19</f>
        <v>3.6565551938443326E-3</v>
      </c>
      <c r="AE108">
        <f t="shared" si="34"/>
        <v>55.5</v>
      </c>
      <c r="AF108" s="3">
        <f t="shared" si="22"/>
        <v>0.20293881325836047</v>
      </c>
    </row>
    <row r="109" spans="1:32" ht="18">
      <c r="A109" t="s">
        <v>374</v>
      </c>
      <c r="B109">
        <v>9</v>
      </c>
      <c r="C109">
        <v>0</v>
      </c>
      <c r="D109">
        <f t="shared" si="33"/>
        <v>0</v>
      </c>
      <c r="F109" s="2">
        <f>IF(D109&gt;0,D109*Agriculture!$D$2+Agriculture!$E$16*E109,IF(E109&gt;0,0,Agriculture!$D$2*0.025))</f>
        <v>50</v>
      </c>
      <c r="G109" s="2">
        <f>L109*1/Agriculture!$C$49*Agriculture!$E$16</f>
        <v>0</v>
      </c>
      <c r="H109" t="s">
        <v>395</v>
      </c>
      <c r="I109">
        <v>1700</v>
      </c>
      <c r="K109" s="48">
        <f>IF(I109&gt;0,I109,J109/2000*Conversion!$D$23)</f>
        <v>1700</v>
      </c>
      <c r="O109" s="59">
        <v>13.3</v>
      </c>
      <c r="P109" s="59">
        <v>2.38</v>
      </c>
      <c r="Q109" s="59">
        <v>45</v>
      </c>
      <c r="R109" s="59">
        <v>73.13</v>
      </c>
      <c r="S109" s="59">
        <v>605</v>
      </c>
      <c r="T109" s="60">
        <f t="shared" si="30"/>
        <v>7721.4</v>
      </c>
      <c r="U109" s="60"/>
      <c r="V109" s="59">
        <v>0.31</v>
      </c>
      <c r="X109">
        <f t="shared" si="31"/>
        <v>1</v>
      </c>
      <c r="Y109" s="2">
        <v>0.1</v>
      </c>
      <c r="Z109" s="2">
        <f>IF(K109&gt;0,F109/K109/X109*Conversion!$E$18,0)*Y109</f>
        <v>29.411764705882355</v>
      </c>
      <c r="AA109" s="2">
        <f>IF(L109&gt;0,G109/L109/X109*Conversion!$E$18,0)*Y109</f>
        <v>0</v>
      </c>
      <c r="AB109" s="2">
        <f t="shared" si="32"/>
        <v>9.1176470588235308</v>
      </c>
      <c r="AC109" s="2">
        <f>(F109*T109)/365.26/Agriculture!$D$2</f>
        <v>0.5284865575206702</v>
      </c>
      <c r="AD109" s="3">
        <f>SUM(Z109:AA109)*Conversion!$F$19</f>
        <v>7.2679411764705881E-3</v>
      </c>
      <c r="AE109">
        <f t="shared" si="34"/>
        <v>55.5</v>
      </c>
      <c r="AF109" s="3">
        <f t="shared" si="22"/>
        <v>0.40337073529411765</v>
      </c>
    </row>
    <row r="110" spans="1:32" ht="18">
      <c r="A110" t="s">
        <v>375</v>
      </c>
      <c r="B110">
        <v>9</v>
      </c>
      <c r="C110">
        <v>0</v>
      </c>
      <c r="D110">
        <f t="shared" si="33"/>
        <v>0</v>
      </c>
      <c r="F110" s="2">
        <f>IF(D110&gt;0,D110*Agriculture!$D$2+Agriculture!$E$16*E110,IF(E110&gt;0,0,Agriculture!$D$2*0.025))</f>
        <v>50</v>
      </c>
      <c r="G110" s="2">
        <f>L110*1/Agriculture!$C$49*Agriculture!$E$16</f>
        <v>0</v>
      </c>
      <c r="H110" t="s">
        <v>395</v>
      </c>
      <c r="I110">
        <v>3602</v>
      </c>
      <c r="K110" s="48">
        <f>IF(I110&gt;0,I110,J110/2000*Conversion!$D$23)</f>
        <v>3602</v>
      </c>
      <c r="O110" s="59">
        <v>13.05</v>
      </c>
      <c r="P110" s="59">
        <v>2.09</v>
      </c>
      <c r="Q110" s="59">
        <v>43.68</v>
      </c>
      <c r="R110" s="59">
        <v>72.13</v>
      </c>
      <c r="S110" s="59">
        <v>1256</v>
      </c>
      <c r="T110" s="60">
        <f t="shared" si="30"/>
        <v>7526.5</v>
      </c>
      <c r="U110" s="60"/>
      <c r="V110" s="59">
        <v>2.5</v>
      </c>
      <c r="X110">
        <f t="shared" si="31"/>
        <v>1</v>
      </c>
      <c r="Y110" s="2">
        <v>0.1</v>
      </c>
      <c r="Z110" s="2">
        <f>IF(K110&gt;0,F110/K110/X110*Conversion!$E$18,0)*Y110</f>
        <v>13.881177123820102</v>
      </c>
      <c r="AA110" s="2">
        <f>IF(L110&gt;0,G110/L110/X110*Conversion!$E$18,0)*Y110</f>
        <v>0</v>
      </c>
      <c r="AB110" s="2">
        <f t="shared" si="32"/>
        <v>34.702942809550251</v>
      </c>
      <c r="AC110" s="2">
        <f>(F110*T110)/365.26/Agriculture!$D$2</f>
        <v>0.51514674478453704</v>
      </c>
      <c r="AD110" s="3">
        <f>SUM(Z110:AA110)*Conversion!$F$19</f>
        <v>3.4301776790671853E-3</v>
      </c>
      <c r="AE110">
        <f t="shared" si="34"/>
        <v>55.5</v>
      </c>
      <c r="AF110" s="3">
        <f t="shared" ref="AF110:AF119" si="35">X110*AD110*AE110</f>
        <v>0.19037486118822877</v>
      </c>
    </row>
    <row r="111" spans="1:32" ht="18">
      <c r="A111" t="s">
        <v>87</v>
      </c>
      <c r="B111">
        <v>9</v>
      </c>
      <c r="C111">
        <v>1</v>
      </c>
      <c r="D111">
        <f t="shared" si="33"/>
        <v>47.826760056878129</v>
      </c>
      <c r="F111" s="2">
        <f>IF(D111&gt;0,D111*Agriculture!$D$2+Agriculture!$E$16*E111,IF(E111&gt;0,0,Agriculture!$D$2*0.025))</f>
        <v>95653.520113756254</v>
      </c>
      <c r="G111" s="2">
        <f>L111*1/Agriculture!$C$49*Agriculture!$E$16</f>
        <v>0</v>
      </c>
      <c r="I111">
        <v>3086</v>
      </c>
      <c r="K111" s="48">
        <f>IF(I111&gt;0,I111,J111/2000*Conversion!$D$23)</f>
        <v>3086</v>
      </c>
      <c r="O111" s="59">
        <v>13.7</v>
      </c>
      <c r="P111" s="59">
        <v>1.87</v>
      </c>
      <c r="Q111" s="59">
        <v>0</v>
      </c>
      <c r="R111" s="59">
        <v>72.569999999999993</v>
      </c>
      <c r="S111" s="59">
        <v>1083</v>
      </c>
      <c r="T111" s="60">
        <f t="shared" si="30"/>
        <v>3619.0999999999995</v>
      </c>
      <c r="U111" s="60"/>
      <c r="V111">
        <v>2.5</v>
      </c>
      <c r="W111">
        <v>1</v>
      </c>
      <c r="X111">
        <f t="shared" si="31"/>
        <v>1</v>
      </c>
      <c r="Y111" s="2">
        <v>0.1</v>
      </c>
      <c r="Z111" s="2">
        <f>IF(K111&gt;0,F111/K111/X111*Conversion!$E$18,0)*Y111</f>
        <v>30995.955966868522</v>
      </c>
      <c r="AA111" s="2">
        <f>IF(L111&gt;0,G111/L111/X111*Conversion!$E$18,0)*Y111</f>
        <v>0</v>
      </c>
      <c r="AB111" s="2">
        <f t="shared" si="32"/>
        <v>77489.889917171298</v>
      </c>
      <c r="AC111" s="2">
        <f>(F111*T111)/365.26/Agriculture!$D$2</f>
        <v>473.88114581899913</v>
      </c>
      <c r="AD111" s="3">
        <f>SUM(Z111:AA111)*Conversion!$F$19</f>
        <v>7.65941067897288</v>
      </c>
      <c r="AE111">
        <f t="shared" si="34"/>
        <v>55.5</v>
      </c>
      <c r="AF111" s="3">
        <f t="shared" si="35"/>
        <v>425.09729268299486</v>
      </c>
    </row>
    <row r="112" spans="1:32" ht="18">
      <c r="A112" t="s">
        <v>376</v>
      </c>
      <c r="B112">
        <v>9</v>
      </c>
      <c r="C112">
        <v>0.5</v>
      </c>
      <c r="D112">
        <f t="shared" si="33"/>
        <v>23.913380028439065</v>
      </c>
      <c r="F112" s="2">
        <f>IF(D112&gt;0,D112*Agriculture!$D$2+Agriculture!$E$16*E112,IF(E112&gt;0,0,Agriculture!$D$2*0.025))</f>
        <v>47826.760056878127</v>
      </c>
      <c r="G112" s="2">
        <f>L112*1/Agriculture!$C$49*Agriculture!$E$16</f>
        <v>0</v>
      </c>
      <c r="I112">
        <v>600</v>
      </c>
      <c r="K112" s="48">
        <f>IF(I112&gt;0,I112,J112/2000*Conversion!$D$23)</f>
        <v>600</v>
      </c>
      <c r="O112" s="59">
        <v>14.73</v>
      </c>
      <c r="P112" s="59">
        <v>1.08</v>
      </c>
      <c r="Q112" s="59">
        <v>27.7</v>
      </c>
      <c r="R112" s="59">
        <v>74.900000000000006</v>
      </c>
      <c r="S112" s="59">
        <v>214</v>
      </c>
      <c r="T112" s="60">
        <f t="shared" si="30"/>
        <v>6175.4000000000005</v>
      </c>
      <c r="U112" s="60"/>
      <c r="V112" s="59">
        <v>0.31</v>
      </c>
      <c r="X112">
        <f t="shared" si="31"/>
        <v>1</v>
      </c>
      <c r="Y112" s="2">
        <v>0.1</v>
      </c>
      <c r="Z112" s="2">
        <f>IF(K112&gt;0,F112/K112/X112*Conversion!$E$18,0)*Y112</f>
        <v>79711.266761463543</v>
      </c>
      <c r="AA112" s="2">
        <f>IF(L112&gt;0,G112/L112/X112*Conversion!$E$18,0)*Y112</f>
        <v>0</v>
      </c>
      <c r="AB112" s="2">
        <f t="shared" si="32"/>
        <v>24710.492696053698</v>
      </c>
      <c r="AC112" s="2">
        <f>(F112*T112)/365.26/Agriculture!$D$2</f>
        <v>404.30018898215684</v>
      </c>
      <c r="AD112" s="3">
        <f>SUM(Z112:AA112)*Conversion!$F$19</f>
        <v>19.697451129425254</v>
      </c>
      <c r="AE112">
        <f t="shared" si="34"/>
        <v>55.5</v>
      </c>
      <c r="AF112" s="3">
        <f t="shared" si="35"/>
        <v>1093.2085376831017</v>
      </c>
    </row>
    <row r="113" spans="1:33" ht="18">
      <c r="F113" s="2"/>
      <c r="G113" s="2"/>
      <c r="K113" s="48"/>
      <c r="O113" s="59"/>
      <c r="P113" s="59"/>
      <c r="Q113" s="59"/>
      <c r="R113" s="59"/>
      <c r="S113" s="59"/>
      <c r="T113" s="60"/>
      <c r="U113" s="60"/>
      <c r="Y113" s="2">
        <v>0.1</v>
      </c>
      <c r="Z113" s="2"/>
      <c r="AA113" s="2"/>
      <c r="AB113" s="2"/>
      <c r="AC113" s="2"/>
      <c r="AD113" s="3">
        <f>SUM(Z113:AA113)*Conversion!$F$19</f>
        <v>0</v>
      </c>
      <c r="AE113">
        <f t="shared" si="24"/>
        <v>14.8</v>
      </c>
      <c r="AF113" s="3">
        <f t="shared" si="35"/>
        <v>0</v>
      </c>
    </row>
    <row r="114" spans="1:33" ht="18">
      <c r="A114" t="str">
        <f>Agriculture!B34</f>
        <v>Protein - Vegetable</v>
      </c>
      <c r="B114">
        <f>COUNT(B115:B119)</f>
        <v>5</v>
      </c>
      <c r="C114">
        <f>SUM(C115:C119)</f>
        <v>4</v>
      </c>
      <c r="D114">
        <f>Agriculture!G34</f>
        <v>9.7099660633484177</v>
      </c>
      <c r="F114" s="2"/>
      <c r="G114" s="2"/>
      <c r="K114" s="48"/>
      <c r="O114" s="59"/>
      <c r="P114" s="59"/>
      <c r="Q114" s="59"/>
      <c r="R114" s="59"/>
      <c r="S114" s="59"/>
      <c r="T114" s="60"/>
      <c r="U114" s="60"/>
      <c r="Y114" s="2">
        <v>0.1</v>
      </c>
      <c r="Z114" s="2"/>
      <c r="AA114" s="2"/>
      <c r="AB114" s="2"/>
      <c r="AC114" s="2"/>
      <c r="AD114" s="3">
        <f>SUM(Z114:AA114)*Conversion!$F$19</f>
        <v>0</v>
      </c>
      <c r="AE114">
        <f t="shared" si="24"/>
        <v>14.8</v>
      </c>
      <c r="AF114" s="3">
        <f t="shared" si="35"/>
        <v>0</v>
      </c>
    </row>
    <row r="115" spans="1:33" ht="18">
      <c r="A115" t="s">
        <v>99</v>
      </c>
      <c r="B115">
        <v>11</v>
      </c>
      <c r="C115">
        <v>1</v>
      </c>
      <c r="D115">
        <f>$D$114*C115/$C$114</f>
        <v>2.4274915158371044</v>
      </c>
      <c r="E115">
        <v>0.05</v>
      </c>
      <c r="F115" s="2">
        <f>IF(D115&gt;0,D115*Agriculture!$D$2+Agriculture!$E$16*E115,IF(E115&gt;0,0,Agriculture!$D$2*0.025))</f>
        <v>246318.52207378359</v>
      </c>
      <c r="G115" s="2">
        <f>L115*1/Agriculture!$C$49*Agriculture!$E$16</f>
        <v>160085.1778256511</v>
      </c>
      <c r="H115" t="s">
        <v>395</v>
      </c>
      <c r="I115">
        <v>3086</v>
      </c>
      <c r="K115" s="48">
        <f>IF(I115&gt;0,I115,J115/2000*Conversion!$D$23)</f>
        <v>3086</v>
      </c>
      <c r="L115">
        <f>I115</f>
        <v>3086</v>
      </c>
      <c r="O115" s="59">
        <v>13.56</v>
      </c>
      <c r="P115" s="59">
        <v>7.02</v>
      </c>
      <c r="Q115">
        <v>0</v>
      </c>
      <c r="R115" s="59">
        <v>65.25</v>
      </c>
      <c r="S115" s="60">
        <v>1133</v>
      </c>
      <c r="T115" s="60">
        <f>(O115*4+R115*4+P115*9+Q115*9)*10</f>
        <v>3784.2000000000003</v>
      </c>
      <c r="U115" s="60"/>
      <c r="W115">
        <v>1</v>
      </c>
      <c r="X115">
        <f>IF(N115&gt;0,1,IF(M115&gt;0,FLOOR(365.26/M115,0.1),1))</f>
        <v>1</v>
      </c>
      <c r="Y115" s="2">
        <v>0.1</v>
      </c>
      <c r="Z115" s="2">
        <f>IF(K115&gt;0,F115/K115/X115*Conversion!$E$18,0)*Y115</f>
        <v>79818.056407577315</v>
      </c>
      <c r="AA115" s="2">
        <f>IF(L115&gt;0,G115/L115/X115*Conversion!$E$18,0)*Y115</f>
        <v>51874.652568260237</v>
      </c>
      <c r="AB115" s="2">
        <f>(Z115+AA115)*IF(V115&gt;0,V115,1)</f>
        <v>131692.70897583757</v>
      </c>
      <c r="AC115" s="2">
        <f>(F115*T115)/365.26/Agriculture!$D$2</f>
        <v>1275.9658205546898</v>
      </c>
      <c r="AD115" s="3">
        <f>SUM(Z115:AA115)*Conversion!$F$19</f>
        <v>32.542585315019217</v>
      </c>
      <c r="AE115">
        <f t="shared" si="24"/>
        <v>14.8</v>
      </c>
      <c r="AF115" s="3">
        <f t="shared" si="35"/>
        <v>481.63026266228445</v>
      </c>
    </row>
    <row r="116" spans="1:33" ht="18">
      <c r="A116" t="s">
        <v>97</v>
      </c>
      <c r="B116">
        <v>11</v>
      </c>
      <c r="C116">
        <v>1</v>
      </c>
      <c r="D116">
        <f t="shared" ref="D116:D119" si="36">$D$114*C116/$C$114</f>
        <v>2.4274915158371044</v>
      </c>
      <c r="F116" s="2">
        <f>IF(D116&gt;0,D116*Agriculture!$D$2+Agriculture!$E$16*E116,IF(E116&gt;0,0,Agriculture!$D$2*0.025))</f>
        <v>4854.9830316742091</v>
      </c>
      <c r="G116" s="2">
        <f>L116*1/Agriculture!$C$49*Agriculture!$E$16</f>
        <v>0</v>
      </c>
      <c r="H116" t="s">
        <v>395</v>
      </c>
      <c r="I116">
        <v>1554</v>
      </c>
      <c r="K116" s="48">
        <f>IF(I116&gt;0,I116,J116/2000*Conversion!$D$23)</f>
        <v>1554</v>
      </c>
      <c r="O116" s="59">
        <v>25.8</v>
      </c>
      <c r="P116" s="59">
        <v>49.24</v>
      </c>
      <c r="Q116" s="59">
        <v>31.6</v>
      </c>
      <c r="R116" s="59">
        <v>16.13</v>
      </c>
      <c r="S116" s="59">
        <v>923</v>
      </c>
      <c r="T116" s="60">
        <f>(O116*4+R116*4+P116*9+Q116*9)*10</f>
        <v>8952.7999999999993</v>
      </c>
      <c r="U116" s="60"/>
      <c r="W116">
        <v>1</v>
      </c>
      <c r="X116">
        <f>IF(N116&gt;0,1,IF(M116&gt;0,FLOOR(365.26/M116,0.1),1))</f>
        <v>1</v>
      </c>
      <c r="Y116" s="2">
        <v>0.1</v>
      </c>
      <c r="Z116" s="2">
        <f>IF(K116&gt;0,F116/K116/X116*Conversion!$E$18,0)*Y116</f>
        <v>3124.1847050670585</v>
      </c>
      <c r="AA116" s="2">
        <f>IF(L116&gt;0,G116/L116/X116*Conversion!$E$18,0)*Y116</f>
        <v>0</v>
      </c>
      <c r="AB116" s="2">
        <f>(Z116+AA116)*IF(V116&gt;0,V116,1)</f>
        <v>3124.1847050670585</v>
      </c>
      <c r="AC116" s="2">
        <f>(F116*T116)/365.26/Agriculture!$D$2</f>
        <v>59.499660633484169</v>
      </c>
      <c r="AD116" s="3">
        <f>SUM(Z116:AA116)*Conversion!$F$19</f>
        <v>0.77201728246912082</v>
      </c>
      <c r="AE116">
        <f t="shared" si="24"/>
        <v>14.8</v>
      </c>
      <c r="AF116" s="3">
        <f t="shared" si="35"/>
        <v>11.425855780542989</v>
      </c>
    </row>
    <row r="117" spans="1:33" ht="18">
      <c r="A117" t="s">
        <v>366</v>
      </c>
      <c r="B117">
        <v>11</v>
      </c>
      <c r="D117">
        <f t="shared" si="36"/>
        <v>0</v>
      </c>
      <c r="F117" s="2">
        <f>IF(D117&gt;0,D117*Agriculture!$D$2+Agriculture!$E$16*E117,IF(E117&gt;0,0,Agriculture!$D$2*0.025))</f>
        <v>50</v>
      </c>
      <c r="G117" s="2">
        <f>L117*1/Agriculture!$C$49*Agriculture!$E$16</f>
        <v>0</v>
      </c>
      <c r="H117" t="s">
        <v>395</v>
      </c>
      <c r="I117">
        <v>4000</v>
      </c>
      <c r="K117" s="48">
        <f>IF(I117&gt;0,I117,J117/2000*Conversion!$D$23)</f>
        <v>4000</v>
      </c>
      <c r="O117" s="59">
        <v>28.5</v>
      </c>
      <c r="P117" s="59">
        <v>54.8</v>
      </c>
      <c r="Q117" s="59">
        <v>82</v>
      </c>
      <c r="R117" s="59">
        <v>17.7</v>
      </c>
      <c r="S117" s="59">
        <v>2638</v>
      </c>
      <c r="T117" s="60">
        <f>(O117*4+R117*4+P117*9+Q117*9)*10</f>
        <v>14160</v>
      </c>
      <c r="U117" s="60"/>
      <c r="X117">
        <f>IF(N117&gt;0,1,IF(M117&gt;0,FLOOR(365.26/M117,0.1),1))</f>
        <v>1</v>
      </c>
      <c r="Y117" s="2">
        <v>0.1</v>
      </c>
      <c r="Z117" s="2">
        <f>IF(K117&gt;0,F117/K117/X117*Conversion!$E$18,0)*Y117</f>
        <v>12.5</v>
      </c>
      <c r="AA117" s="2">
        <f>IF(L117&gt;0,G117/L117/X117*Conversion!$E$18,0)*Y117</f>
        <v>0</v>
      </c>
      <c r="AB117" s="2">
        <f>(Z117+AA117)*IF(V117&gt;0,V117,1)</f>
        <v>12.5</v>
      </c>
      <c r="AC117" s="2">
        <f>(F117*T117)/365.26/Agriculture!$D$2</f>
        <v>0.96917264414389748</v>
      </c>
      <c r="AD117" s="3">
        <f>SUM(Z117:AA117)*Conversion!$F$19</f>
        <v>3.0888749999999996E-3</v>
      </c>
      <c r="AE117">
        <f t="shared" si="24"/>
        <v>14.8</v>
      </c>
      <c r="AF117" s="3">
        <f t="shared" si="35"/>
        <v>4.5715349999999995E-2</v>
      </c>
    </row>
    <row r="118" spans="1:33" ht="18">
      <c r="A118" t="s">
        <v>369</v>
      </c>
      <c r="B118">
        <v>11</v>
      </c>
      <c r="C118">
        <v>1</v>
      </c>
      <c r="D118">
        <f t="shared" si="36"/>
        <v>2.4274915158371044</v>
      </c>
      <c r="F118" s="2">
        <f>IF(D118&gt;0,D118*Agriculture!$D$2+Agriculture!$E$16*E118,IF(E118&gt;0,0,Agriculture!$D$2*0.025))</f>
        <v>4854.9830316742091</v>
      </c>
      <c r="G118" s="2">
        <f>L118*1/Agriculture!$C$49*Agriculture!$E$16</f>
        <v>0</v>
      </c>
      <c r="H118" t="s">
        <v>395</v>
      </c>
      <c r="I118">
        <v>1459</v>
      </c>
      <c r="K118" s="48">
        <f>IF(I118&gt;0,I118,J118/2000*Conversion!$D$23)</f>
        <v>1459</v>
      </c>
      <c r="O118" s="59">
        <v>11.3</v>
      </c>
      <c r="P118" s="59">
        <v>3.3</v>
      </c>
      <c r="Q118" s="59">
        <v>0</v>
      </c>
      <c r="R118" s="59">
        <v>74.63</v>
      </c>
      <c r="S118" s="59">
        <v>529</v>
      </c>
      <c r="T118" s="60">
        <f>(O118*4+R118*4+P118*9+Q118*9)*10</f>
        <v>3734.2</v>
      </c>
      <c r="U118" s="60"/>
      <c r="X118">
        <f>IF(N118&gt;0,1,IF(M118&gt;0,FLOOR(365.26/M118,0.1),1))</f>
        <v>1</v>
      </c>
      <c r="Y118" s="2">
        <v>0.1</v>
      </c>
      <c r="Z118" s="2">
        <f>IF(K118&gt;0,F118/K118/X118*Conversion!$E$18,0)*Y118</f>
        <v>3327.6100285635434</v>
      </c>
      <c r="AA118" s="2">
        <f>IF(L118&gt;0,G118/L118/X118*Conversion!$E$18,0)*Y118</f>
        <v>0</v>
      </c>
      <c r="AB118" s="2">
        <f>(Z118+AA118)*IF(V118&gt;0,V118,1)</f>
        <v>3327.6100285635434</v>
      </c>
      <c r="AC118" s="2">
        <f>(F118*T118)/365.26/Agriculture!$D$2</f>
        <v>24.817222850678736</v>
      </c>
      <c r="AD118" s="3">
        <f>SUM(Z118:AA118)*Conversion!$F$19</f>
        <v>0.82228571415833718</v>
      </c>
      <c r="AE118">
        <f>46.7+18.2+17.6+6.7+24.4+10.5+9.4</f>
        <v>133.5</v>
      </c>
      <c r="AF118" s="3">
        <f t="shared" si="35"/>
        <v>109.77514284013802</v>
      </c>
    </row>
    <row r="119" spans="1:33" ht="18">
      <c r="A119" t="s">
        <v>100</v>
      </c>
      <c r="B119">
        <v>11</v>
      </c>
      <c r="C119">
        <v>1</v>
      </c>
      <c r="D119">
        <f t="shared" si="36"/>
        <v>2.4274915158371044</v>
      </c>
      <c r="F119" s="2">
        <f>IF(D119&gt;0,D119*Agriculture!$D$2+Agriculture!$E$16*E119,IF(E119&gt;0,0,Agriculture!$D$2*0.025))</f>
        <v>4854.9830316742091</v>
      </c>
      <c r="G119" s="2">
        <f>L119*1/Agriculture!$C$49*Agriculture!$E$16</f>
        <v>0</v>
      </c>
      <c r="H119" t="s">
        <v>395</v>
      </c>
      <c r="I119">
        <v>2384</v>
      </c>
      <c r="K119" s="48">
        <f>IF(I119&gt;0,I119,J119/2000*Conversion!$D$23)</f>
        <v>2384</v>
      </c>
      <c r="O119" s="59">
        <v>36.49</v>
      </c>
      <c r="P119" s="59">
        <v>19.940000000000001</v>
      </c>
      <c r="Q119" s="59">
        <v>57</v>
      </c>
      <c r="R119" s="59">
        <v>30.16</v>
      </c>
      <c r="S119" s="59">
        <v>529</v>
      </c>
      <c r="T119" s="60">
        <f>(O119*4+R119*4+P119*9+Q119*9)*10</f>
        <v>9590.6</v>
      </c>
      <c r="U119" s="60"/>
      <c r="W119">
        <v>1</v>
      </c>
      <c r="X119">
        <f>IF(N119&gt;0,1,IF(M119&gt;0,FLOOR(365.26/M119,0.1),1))</f>
        <v>1</v>
      </c>
      <c r="Y119" s="2">
        <v>0.1</v>
      </c>
      <c r="Z119" s="2">
        <f>IF(K119&gt;0,F119/K119/X119*Conversion!$E$18,0)*Y119</f>
        <v>2036.4861710042824</v>
      </c>
      <c r="AA119" s="2">
        <f>IF(L119&gt;0,G119/L119/X119*Conversion!$E$18,0)*Y119</f>
        <v>0</v>
      </c>
      <c r="AB119" s="2">
        <f>(Z119+AA119)*IF(V119&gt;0,V119,1)</f>
        <v>2036.4861710042824</v>
      </c>
      <c r="AC119" s="2">
        <f>(F119*T119)/365.26/Agriculture!$D$2</f>
        <v>63.738433257918572</v>
      </c>
      <c r="AD119" s="3">
        <f>SUM(Z119:AA119)*Conversion!$F$19</f>
        <v>0.50323609771686817</v>
      </c>
      <c r="AE119">
        <f t="shared" si="24"/>
        <v>14.8</v>
      </c>
      <c r="AF119" s="3">
        <f t="shared" si="35"/>
        <v>7.4478942462096489</v>
      </c>
    </row>
    <row r="120" spans="1:33" ht="18">
      <c r="H120" s="59"/>
      <c r="I120" s="59"/>
      <c r="J120" s="59"/>
      <c r="K120" s="59"/>
      <c r="L120" s="59"/>
      <c r="M120" s="59"/>
      <c r="N120" s="59"/>
      <c r="O120" s="59"/>
    </row>
    <row r="121" spans="1:33">
      <c r="A121" t="s">
        <v>232</v>
      </c>
    </row>
    <row r="122" spans="1:33">
      <c r="E122" s="2"/>
    </row>
    <row r="123" spans="1:33">
      <c r="A123" t="s">
        <v>271</v>
      </c>
      <c r="G123">
        <f>Cattle!D8</f>
        <v>4595701.32</v>
      </c>
    </row>
    <row r="124" spans="1:33">
      <c r="A124" t="s">
        <v>272</v>
      </c>
      <c r="Q124" s="2"/>
      <c r="R124" s="2"/>
      <c r="V124">
        <v>0.31</v>
      </c>
    </row>
    <row r="125" spans="1:33">
      <c r="A125" t="s">
        <v>235</v>
      </c>
      <c r="D125">
        <v>0.7</v>
      </c>
      <c r="G125">
        <f>G123*D125</f>
        <v>3216990.9240000001</v>
      </c>
      <c r="Q125" s="2"/>
      <c r="R125" s="2"/>
      <c r="V125">
        <v>0.31</v>
      </c>
    </row>
    <row r="126" spans="1:33">
      <c r="A126" t="s">
        <v>240</v>
      </c>
      <c r="G126" s="2">
        <f>IF((G127+G128)&lt;G125,(G125-(G127+G128))/I126,0)</f>
        <v>448.007632</v>
      </c>
      <c r="I126">
        <f>3500*2</f>
        <v>7000</v>
      </c>
      <c r="K126">
        <f>3500*2</f>
        <v>7000</v>
      </c>
      <c r="O126">
        <v>0.5</v>
      </c>
      <c r="Q126" s="2">
        <f>S126*10000000*IF(O126&gt;0,O126,3)</f>
        <v>3200.0545142857145</v>
      </c>
      <c r="R126" s="2"/>
      <c r="S126">
        <f>G126/(I126*Conversion!$D$17)</f>
        <v>6.4001090285714288E-4</v>
      </c>
      <c r="V126">
        <v>0.31</v>
      </c>
      <c r="W126">
        <v>1</v>
      </c>
      <c r="X126">
        <f>IF(N126&gt;0,1,IF(M126&gt;0,FLOOR(365.26/M126,0.1),1))</f>
        <v>1</v>
      </c>
      <c r="Y126" s="2"/>
      <c r="Z126" s="2">
        <f>IF(K126&gt;0,F126/K126/X126*Conversion!$E$18,0)*Y126</f>
        <v>0</v>
      </c>
      <c r="AA126" s="2">
        <f>IF(L126&gt;0,G126/L126/X126*Conversion!$E$18,0)*Y126</f>
        <v>0</v>
      </c>
      <c r="AB126" s="2">
        <f>(Z126+AA126)*IF(V126&gt;0,V126,1)</f>
        <v>0</v>
      </c>
      <c r="AC126" s="2">
        <f>(H126*T126)/365.26/Agriculture!$D$2</f>
        <v>0</v>
      </c>
      <c r="AD126" s="3">
        <f>SUM(Z126:AA126)*Conversion!$F$19</f>
        <v>0</v>
      </c>
      <c r="AE126">
        <f t="shared" ref="AE126" si="37">1.5+9.4+3.9</f>
        <v>14.8</v>
      </c>
      <c r="AF126" s="3">
        <f>X126*AD126*AE126</f>
        <v>0</v>
      </c>
      <c r="AG126" t="s">
        <v>237</v>
      </c>
    </row>
    <row r="127" spans="1:33">
      <c r="A127" t="s">
        <v>242</v>
      </c>
      <c r="G127" s="2">
        <f>J127*0.0001*I127</f>
        <v>8750</v>
      </c>
      <c r="I127">
        <v>3500</v>
      </c>
      <c r="J127">
        <f>Habitat!I5</f>
        <v>25000</v>
      </c>
      <c r="K127">
        <v>3500</v>
      </c>
      <c r="O127">
        <v>0.5</v>
      </c>
      <c r="Q127" s="2"/>
      <c r="R127" s="2"/>
      <c r="S127" s="2"/>
      <c r="V127">
        <v>0.31</v>
      </c>
    </row>
    <row r="128" spans="1:33">
      <c r="A128" t="s">
        <v>241</v>
      </c>
      <c r="G128" s="2">
        <f>J128*0.0001*I128*0.5</f>
        <v>72187.5</v>
      </c>
      <c r="I128">
        <v>3500</v>
      </c>
      <c r="J128">
        <f>Habitat!I8*0.75</f>
        <v>412500</v>
      </c>
      <c r="K128">
        <v>3500</v>
      </c>
      <c r="O128">
        <v>0.5</v>
      </c>
      <c r="Q128" s="2"/>
      <c r="R128" s="2"/>
      <c r="V128">
        <v>0.31</v>
      </c>
    </row>
    <row r="129" spans="1:33">
      <c r="A129" t="s">
        <v>233</v>
      </c>
      <c r="G129" s="2">
        <f>(D6+D14+D17)*Agriculture!D2</f>
        <v>83272.217054263558</v>
      </c>
      <c r="O129">
        <v>0.5</v>
      </c>
      <c r="Q129" s="2"/>
      <c r="R129" s="2"/>
      <c r="V129">
        <v>0.31</v>
      </c>
      <c r="AG129" t="s">
        <v>236</v>
      </c>
    </row>
  </sheetData>
  <sortState ref="A17:AJ119">
    <sortCondition ref="B17:B119"/>
    <sortCondition ref="A17:A119"/>
  </sortState>
  <pageMargins left="0.7" right="0.7" top="0.75" bottom="0.75" header="0.3" footer="0.3"/>
  <pageSetup orientation="portrait" horizontalDpi="0" verticalDpi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F9450-562D-2D40-BB76-707A09BB98FE}">
  <dimension ref="A1:P24"/>
  <sheetViews>
    <sheetView workbookViewId="0"/>
  </sheetViews>
  <sheetFormatPr baseColWidth="10" defaultRowHeight="16"/>
  <cols>
    <col min="1" max="1" width="18.6640625" bestFit="1" customWidth="1"/>
  </cols>
  <sheetData>
    <row r="1" spans="1:16">
      <c r="A1" t="s">
        <v>458</v>
      </c>
      <c r="B1" t="s">
        <v>472</v>
      </c>
    </row>
    <row r="2" spans="1:16">
      <c r="A2" t="s">
        <v>469</v>
      </c>
      <c r="B2" t="s">
        <v>443</v>
      </c>
    </row>
    <row r="3" spans="1:16">
      <c r="A3" t="s">
        <v>470</v>
      </c>
      <c r="B3" t="s">
        <v>471</v>
      </c>
    </row>
    <row r="4" spans="1:16">
      <c r="J4" s="5"/>
    </row>
    <row r="5" spans="1:16">
      <c r="B5" t="s">
        <v>463</v>
      </c>
      <c r="E5">
        <f>AVERAGE(E9:E14)</f>
        <v>3316.6666666666665</v>
      </c>
      <c r="G5">
        <f>AVERAGE(G9:G21)</f>
        <v>54.307692307692307</v>
      </c>
      <c r="H5">
        <f>AVERAGE(H9:H15)</f>
        <v>377.57142857142856</v>
      </c>
      <c r="I5">
        <f>AVERAGE(I9:I16)</f>
        <v>666.75</v>
      </c>
      <c r="J5">
        <f>AVERAGE(J9:J17)</f>
        <v>470</v>
      </c>
      <c r="K5">
        <f>AVERAGE(K9:K14)</f>
        <v>358.66666666666669</v>
      </c>
      <c r="L5">
        <f>AVERAGE(L9:L18)</f>
        <v>219.8</v>
      </c>
      <c r="M5">
        <f>AVERAGE(M9:M21)</f>
        <v>107.84615384615384</v>
      </c>
      <c r="N5">
        <f>AVERAGE(N9:N21)</f>
        <v>43</v>
      </c>
      <c r="O5">
        <f>AVERAGE(O9:O21)</f>
        <v>1097.9230769230769</v>
      </c>
      <c r="P5">
        <f>AVERAGE(P9:P16)</f>
        <v>157</v>
      </c>
    </row>
    <row r="6" spans="1:16">
      <c r="A6" t="s">
        <v>459</v>
      </c>
      <c r="C6" s="4">
        <v>28</v>
      </c>
      <c r="D6" s="5"/>
      <c r="E6" s="5"/>
      <c r="F6" s="5"/>
      <c r="J6">
        <v>8</v>
      </c>
    </row>
    <row r="7" spans="1:16">
      <c r="A7" t="s">
        <v>460</v>
      </c>
      <c r="C7" s="4"/>
      <c r="D7" s="5"/>
      <c r="E7" s="5"/>
      <c r="F7" s="5"/>
      <c r="G7" t="s">
        <v>493</v>
      </c>
      <c r="J7">
        <v>103</v>
      </c>
    </row>
    <row r="8" spans="1:16">
      <c r="C8" t="s">
        <v>474</v>
      </c>
      <c r="D8" t="s">
        <v>10</v>
      </c>
      <c r="E8" t="s">
        <v>486</v>
      </c>
      <c r="G8" s="63" t="s">
        <v>459</v>
      </c>
      <c r="H8" s="63" t="s">
        <v>460</v>
      </c>
      <c r="I8" s="63" t="s">
        <v>494</v>
      </c>
      <c r="J8" s="63" t="s">
        <v>495</v>
      </c>
      <c r="K8" s="63" t="s">
        <v>496</v>
      </c>
      <c r="L8" s="63" t="s">
        <v>497</v>
      </c>
      <c r="M8" s="63" t="s">
        <v>498</v>
      </c>
      <c r="N8" s="63" t="s">
        <v>499</v>
      </c>
      <c r="O8" s="63" t="s">
        <v>500</v>
      </c>
      <c r="P8" s="63" t="s">
        <v>501</v>
      </c>
    </row>
    <row r="9" spans="1:16">
      <c r="A9" s="4" t="s">
        <v>461</v>
      </c>
      <c r="B9" s="4">
        <v>84.74</v>
      </c>
      <c r="C9" t="s">
        <v>481</v>
      </c>
      <c r="D9">
        <v>2013</v>
      </c>
      <c r="E9">
        <f t="shared" ref="E9:E21" si="0">SUM(G9:P9)</f>
        <v>2726</v>
      </c>
      <c r="F9" s="4" t="str">
        <f t="shared" ref="F9:F21" si="1">A9</f>
        <v>Japan</v>
      </c>
      <c r="G9">
        <v>49</v>
      </c>
      <c r="H9">
        <v>254</v>
      </c>
      <c r="I9">
        <v>506</v>
      </c>
      <c r="J9">
        <v>318</v>
      </c>
      <c r="K9">
        <v>189</v>
      </c>
      <c r="L9">
        <v>124</v>
      </c>
      <c r="M9">
        <v>60</v>
      </c>
      <c r="N9">
        <v>13</v>
      </c>
      <c r="O9">
        <v>1082</v>
      </c>
      <c r="P9">
        <v>131</v>
      </c>
    </row>
    <row r="10" spans="1:16">
      <c r="A10" s="5" t="s">
        <v>462</v>
      </c>
      <c r="B10" s="5">
        <v>82.97</v>
      </c>
      <c r="C10" t="s">
        <v>476</v>
      </c>
      <c r="D10">
        <v>2013</v>
      </c>
      <c r="E10">
        <f t="shared" si="0"/>
        <v>3380</v>
      </c>
      <c r="F10" s="4" t="str">
        <f t="shared" si="1"/>
        <v>Iceland</v>
      </c>
      <c r="G10">
        <v>120</v>
      </c>
      <c r="H10">
        <v>434</v>
      </c>
      <c r="I10">
        <v>457</v>
      </c>
      <c r="J10">
        <v>710</v>
      </c>
      <c r="K10">
        <v>573</v>
      </c>
      <c r="L10">
        <v>196</v>
      </c>
      <c r="M10">
        <v>54</v>
      </c>
      <c r="N10">
        <v>7</v>
      </c>
      <c r="O10">
        <v>698</v>
      </c>
      <c r="P10">
        <v>131</v>
      </c>
    </row>
    <row r="11" spans="1:16" ht="17">
      <c r="A11" s="5" t="s">
        <v>487</v>
      </c>
      <c r="B11" s="62">
        <v>82.15</v>
      </c>
      <c r="C11" t="s">
        <v>488</v>
      </c>
      <c r="D11">
        <v>2013</v>
      </c>
      <c r="E11">
        <f t="shared" si="0"/>
        <v>3276</v>
      </c>
      <c r="F11" s="4" t="str">
        <f t="shared" si="1"/>
        <v>Australia</v>
      </c>
      <c r="G11">
        <v>68</v>
      </c>
      <c r="H11">
        <v>384</v>
      </c>
      <c r="I11">
        <v>774</v>
      </c>
      <c r="J11">
        <v>517</v>
      </c>
      <c r="K11">
        <v>371</v>
      </c>
      <c r="L11">
        <v>183</v>
      </c>
      <c r="M11">
        <v>90</v>
      </c>
      <c r="N11">
        <v>12</v>
      </c>
      <c r="O11">
        <v>741</v>
      </c>
      <c r="P11">
        <v>136</v>
      </c>
    </row>
    <row r="12" spans="1:16">
      <c r="A12" s="5" t="s">
        <v>464</v>
      </c>
      <c r="B12" s="5">
        <v>81.760000000000005</v>
      </c>
      <c r="C12" t="s">
        <v>475</v>
      </c>
      <c r="D12">
        <v>2013</v>
      </c>
      <c r="E12">
        <f t="shared" si="0"/>
        <v>3494</v>
      </c>
      <c r="F12" s="4" t="str">
        <f t="shared" si="1"/>
        <v>Canada</v>
      </c>
      <c r="G12">
        <v>45</v>
      </c>
      <c r="H12">
        <v>434</v>
      </c>
      <c r="I12">
        <v>919</v>
      </c>
      <c r="J12">
        <v>390</v>
      </c>
      <c r="K12">
        <v>242</v>
      </c>
      <c r="L12">
        <v>214</v>
      </c>
      <c r="M12">
        <v>120</v>
      </c>
      <c r="N12">
        <v>115</v>
      </c>
      <c r="O12">
        <v>909</v>
      </c>
      <c r="P12">
        <v>106</v>
      </c>
    </row>
    <row r="13" spans="1:16" ht="17">
      <c r="A13" s="5" t="s">
        <v>478</v>
      </c>
      <c r="B13" s="62">
        <v>80.680000000000007</v>
      </c>
      <c r="C13" t="s">
        <v>479</v>
      </c>
      <c r="D13">
        <v>2013</v>
      </c>
      <c r="E13">
        <f t="shared" si="0"/>
        <v>3600</v>
      </c>
      <c r="F13" s="4" t="str">
        <f t="shared" si="1"/>
        <v>Ireland</v>
      </c>
      <c r="G13">
        <v>48</v>
      </c>
      <c r="H13">
        <v>395</v>
      </c>
      <c r="I13">
        <v>551</v>
      </c>
      <c r="J13">
        <v>439</v>
      </c>
      <c r="K13">
        <v>393</v>
      </c>
      <c r="L13">
        <v>211</v>
      </c>
      <c r="M13">
        <v>154</v>
      </c>
      <c r="N13">
        <v>31</v>
      </c>
      <c r="O13">
        <v>1073</v>
      </c>
      <c r="P13">
        <v>305</v>
      </c>
    </row>
    <row r="14" spans="1:16" ht="17">
      <c r="A14" s="5" t="s">
        <v>489</v>
      </c>
      <c r="B14" s="62">
        <v>80.540000000000006</v>
      </c>
      <c r="C14" t="s">
        <v>490</v>
      </c>
      <c r="D14">
        <v>2013</v>
      </c>
      <c r="E14">
        <f t="shared" si="0"/>
        <v>3424</v>
      </c>
      <c r="F14" s="4" t="str">
        <f t="shared" si="1"/>
        <v>United Kingdom</v>
      </c>
      <c r="G14">
        <v>93</v>
      </c>
      <c r="H14">
        <v>394</v>
      </c>
      <c r="I14">
        <v>609</v>
      </c>
      <c r="J14">
        <v>476</v>
      </c>
      <c r="K14">
        <v>384</v>
      </c>
      <c r="L14">
        <v>212</v>
      </c>
      <c r="M14">
        <v>181</v>
      </c>
      <c r="N14">
        <v>32</v>
      </c>
      <c r="O14">
        <v>890</v>
      </c>
      <c r="P14">
        <v>153</v>
      </c>
    </row>
    <row r="15" spans="1:16" ht="17">
      <c r="A15" s="5" t="s">
        <v>491</v>
      </c>
      <c r="B15" s="62">
        <v>80.040000000000006</v>
      </c>
      <c r="C15" t="s">
        <v>492</v>
      </c>
      <c r="D15">
        <v>2013</v>
      </c>
      <c r="E15">
        <f t="shared" si="0"/>
        <v>3334</v>
      </c>
      <c r="F15" s="4" t="str">
        <f t="shared" si="1"/>
        <v>South Korea</v>
      </c>
      <c r="G15">
        <v>47</v>
      </c>
      <c r="H15">
        <v>348</v>
      </c>
      <c r="I15">
        <v>628</v>
      </c>
      <c r="J15">
        <v>388</v>
      </c>
      <c r="K15" s="67">
        <v>85</v>
      </c>
      <c r="L15">
        <v>245</v>
      </c>
      <c r="M15">
        <v>40</v>
      </c>
      <c r="N15">
        <v>12</v>
      </c>
      <c r="O15">
        <v>1406</v>
      </c>
      <c r="P15">
        <v>135</v>
      </c>
    </row>
    <row r="16" spans="1:16">
      <c r="A16" s="5" t="s">
        <v>442</v>
      </c>
      <c r="B16" s="5">
        <v>79.959999999999994</v>
      </c>
      <c r="C16" t="s">
        <v>485</v>
      </c>
      <c r="D16">
        <v>2013</v>
      </c>
      <c r="E16">
        <f t="shared" si="0"/>
        <v>3682</v>
      </c>
      <c r="F16" s="4" t="str">
        <f t="shared" si="1"/>
        <v>United States</v>
      </c>
      <c r="G16">
        <v>30</v>
      </c>
      <c r="H16" s="66">
        <v>600</v>
      </c>
      <c r="I16">
        <v>890</v>
      </c>
      <c r="J16">
        <v>459</v>
      </c>
      <c r="K16">
        <v>424</v>
      </c>
      <c r="L16">
        <v>188</v>
      </c>
      <c r="M16">
        <v>92</v>
      </c>
      <c r="N16">
        <v>39</v>
      </c>
      <c r="O16">
        <v>801</v>
      </c>
      <c r="P16">
        <v>159</v>
      </c>
    </row>
    <row r="17" spans="1:16" ht="17">
      <c r="A17" s="5" t="s">
        <v>466</v>
      </c>
      <c r="B17" s="62">
        <v>75.41</v>
      </c>
      <c r="C17" t="s">
        <v>482</v>
      </c>
      <c r="D17">
        <v>2013</v>
      </c>
      <c r="E17">
        <f t="shared" si="0"/>
        <v>3108</v>
      </c>
      <c r="F17" s="4" t="str">
        <f t="shared" si="1"/>
        <v>China</v>
      </c>
      <c r="G17">
        <v>25</v>
      </c>
      <c r="H17" s="67">
        <v>71</v>
      </c>
      <c r="I17" s="67">
        <v>334</v>
      </c>
      <c r="J17">
        <v>533</v>
      </c>
      <c r="K17" s="67">
        <v>134</v>
      </c>
      <c r="L17">
        <v>335</v>
      </c>
      <c r="M17">
        <v>152</v>
      </c>
      <c r="N17">
        <v>12</v>
      </c>
      <c r="O17">
        <v>1417</v>
      </c>
      <c r="P17" s="67">
        <v>95</v>
      </c>
    </row>
    <row r="18" spans="1:16" ht="17">
      <c r="A18" s="5" t="s">
        <v>480</v>
      </c>
      <c r="B18" s="62">
        <v>75.05</v>
      </c>
      <c r="C18" t="s">
        <v>484</v>
      </c>
      <c r="D18">
        <v>2013</v>
      </c>
      <c r="E18">
        <f t="shared" si="0"/>
        <v>3255</v>
      </c>
      <c r="F18" s="4" t="str">
        <f t="shared" si="1"/>
        <v>Saudi Arabia</v>
      </c>
      <c r="G18">
        <v>110</v>
      </c>
      <c r="H18" s="67">
        <v>308</v>
      </c>
      <c r="I18" s="5">
        <v>581</v>
      </c>
      <c r="J18" s="64">
        <v>281</v>
      </c>
      <c r="K18" s="67">
        <v>161</v>
      </c>
      <c r="L18">
        <v>290</v>
      </c>
      <c r="M18">
        <v>39</v>
      </c>
      <c r="N18">
        <v>58</v>
      </c>
      <c r="O18">
        <v>1427</v>
      </c>
      <c r="P18" s="67">
        <v>0</v>
      </c>
    </row>
    <row r="19" spans="1:16" ht="17">
      <c r="A19" s="5" t="s">
        <v>465</v>
      </c>
      <c r="B19" s="62">
        <v>70.47</v>
      </c>
      <c r="C19" t="s">
        <v>483</v>
      </c>
      <c r="D19">
        <v>2013</v>
      </c>
      <c r="E19">
        <f t="shared" si="0"/>
        <v>3361</v>
      </c>
      <c r="F19" s="4" t="str">
        <f t="shared" si="1"/>
        <v>Russia</v>
      </c>
      <c r="G19">
        <v>36</v>
      </c>
      <c r="H19" s="67">
        <v>439</v>
      </c>
      <c r="I19" s="5">
        <v>482</v>
      </c>
      <c r="J19" s="64">
        <v>372</v>
      </c>
      <c r="K19" s="67">
        <v>328</v>
      </c>
      <c r="L19" s="67">
        <v>162</v>
      </c>
      <c r="M19">
        <v>207</v>
      </c>
      <c r="N19">
        <v>17</v>
      </c>
      <c r="O19">
        <v>1153</v>
      </c>
      <c r="P19">
        <v>165</v>
      </c>
    </row>
    <row r="20" spans="1:16" ht="17">
      <c r="A20" s="5" t="s">
        <v>467</v>
      </c>
      <c r="B20" s="62">
        <v>68.13</v>
      </c>
      <c r="C20" t="s">
        <v>477</v>
      </c>
      <c r="D20">
        <v>2013</v>
      </c>
      <c r="E20">
        <f t="shared" si="0"/>
        <v>2459</v>
      </c>
      <c r="F20" s="4" t="str">
        <f t="shared" si="1"/>
        <v>India</v>
      </c>
      <c r="G20">
        <v>27</v>
      </c>
      <c r="H20" s="67">
        <v>236</v>
      </c>
      <c r="I20" s="67">
        <v>330</v>
      </c>
      <c r="J20" s="64">
        <v>24</v>
      </c>
      <c r="K20" s="67">
        <v>139</v>
      </c>
      <c r="L20" s="67">
        <v>131</v>
      </c>
      <c r="M20">
        <v>60</v>
      </c>
      <c r="N20">
        <v>137</v>
      </c>
      <c r="O20">
        <v>1361</v>
      </c>
      <c r="P20" s="67">
        <v>14</v>
      </c>
    </row>
    <row r="21" spans="1:16" ht="17">
      <c r="A21" t="s">
        <v>468</v>
      </c>
      <c r="B21" s="62">
        <v>49.81</v>
      </c>
      <c r="C21" s="63" t="s">
        <v>473</v>
      </c>
      <c r="D21" s="63">
        <v>2013</v>
      </c>
      <c r="E21">
        <f t="shared" si="0"/>
        <v>2110</v>
      </c>
      <c r="F21" s="4" t="str">
        <f t="shared" si="1"/>
        <v>Chad</v>
      </c>
      <c r="G21" s="63">
        <v>8</v>
      </c>
      <c r="H21" s="68">
        <v>103</v>
      </c>
      <c r="I21" s="68">
        <v>327</v>
      </c>
      <c r="J21" s="65">
        <v>64</v>
      </c>
      <c r="K21" s="68">
        <v>39</v>
      </c>
      <c r="L21" s="68">
        <v>20</v>
      </c>
      <c r="M21" s="63">
        <v>153</v>
      </c>
      <c r="N21" s="63">
        <v>74</v>
      </c>
      <c r="O21" s="63">
        <v>1315</v>
      </c>
      <c r="P21" s="68">
        <v>7</v>
      </c>
    </row>
    <row r="24" spans="1:16">
      <c r="D24" s="4"/>
    </row>
  </sheetData>
  <pageMargins left="0.7" right="0.7" top="0.75" bottom="0.75" header="0.3" footer="0.3"/>
  <pageSetup orientation="portrait" horizontalDpi="0" verticalDpi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D8BE1-CCD1-364C-B09C-9A3732BA9B99}">
  <dimension ref="A1:J12"/>
  <sheetViews>
    <sheetView workbookViewId="0"/>
  </sheetViews>
  <sheetFormatPr baseColWidth="10" defaultRowHeight="16"/>
  <sheetData>
    <row r="1" spans="1:10">
      <c r="A1" t="s">
        <v>85</v>
      </c>
      <c r="C1" t="e">
        <f>Vehicle!#REF!</f>
        <v>#REF!</v>
      </c>
      <c r="E1" t="e">
        <f>C1*C2</f>
        <v>#REF!</v>
      </c>
    </row>
    <row r="2" spans="1:10">
      <c r="A2" t="s">
        <v>170</v>
      </c>
      <c r="C2">
        <v>14</v>
      </c>
      <c r="D2" t="s">
        <v>34</v>
      </c>
    </row>
    <row r="4" spans="1:10">
      <c r="B4" t="s">
        <v>160</v>
      </c>
      <c r="D4" t="s">
        <v>167</v>
      </c>
      <c r="E4" t="s">
        <v>176</v>
      </c>
      <c r="F4" t="s">
        <v>171</v>
      </c>
      <c r="G4" t="s">
        <v>161</v>
      </c>
      <c r="H4" t="s">
        <v>172</v>
      </c>
      <c r="I4" t="s">
        <v>177</v>
      </c>
      <c r="J4" t="s">
        <v>175</v>
      </c>
    </row>
    <row r="5" spans="1:10">
      <c r="B5" t="s">
        <v>157</v>
      </c>
      <c r="C5" t="s">
        <v>158</v>
      </c>
      <c r="F5" t="s">
        <v>174</v>
      </c>
      <c r="H5" t="s">
        <v>173</v>
      </c>
    </row>
    <row r="6" spans="1:10">
      <c r="A6" t="s">
        <v>156</v>
      </c>
      <c r="B6">
        <f>5.3/1000*365.26</f>
        <v>1.935878</v>
      </c>
      <c r="C6">
        <v>0.5</v>
      </c>
      <c r="D6" t="s">
        <v>168</v>
      </c>
    </row>
    <row r="7" spans="1:10">
      <c r="A7" t="s">
        <v>159</v>
      </c>
      <c r="D7" t="s">
        <v>168</v>
      </c>
    </row>
    <row r="8" spans="1:10">
      <c r="A8" t="s">
        <v>162</v>
      </c>
      <c r="D8" t="s">
        <v>168</v>
      </c>
    </row>
    <row r="9" spans="1:10">
      <c r="A9" t="s">
        <v>163</v>
      </c>
      <c r="B9">
        <v>0.75</v>
      </c>
      <c r="C9">
        <v>1</v>
      </c>
      <c r="D9" t="s">
        <v>169</v>
      </c>
      <c r="E9">
        <v>0.5</v>
      </c>
      <c r="F9">
        <v>50</v>
      </c>
      <c r="G9">
        <f>240/365.26</f>
        <v>0.65706619941959155</v>
      </c>
      <c r="H9" t="e">
        <f>I9/F9</f>
        <v>#REF!</v>
      </c>
      <c r="I9" t="e">
        <f>$C$1*$C$2*B9/E9*G9</f>
        <v>#REF!</v>
      </c>
      <c r="J9" t="e">
        <f>I9*E9/G9</f>
        <v>#REF!</v>
      </c>
    </row>
    <row r="10" spans="1:10">
      <c r="A10" t="s">
        <v>164</v>
      </c>
      <c r="B10">
        <v>0.25</v>
      </c>
      <c r="C10">
        <v>1</v>
      </c>
      <c r="D10" t="s">
        <v>168</v>
      </c>
      <c r="E10">
        <v>0.5</v>
      </c>
      <c r="F10">
        <v>50</v>
      </c>
      <c r="G10">
        <v>2</v>
      </c>
      <c r="H10" t="e">
        <f>I10/F10</f>
        <v>#REF!</v>
      </c>
      <c r="I10" t="e">
        <f>$C$1*$C$2*B10/E10*G10</f>
        <v>#REF!</v>
      </c>
      <c r="J10" t="e">
        <f>I10*E10/G10</f>
        <v>#REF!</v>
      </c>
    </row>
    <row r="11" spans="1:10">
      <c r="A11" t="s">
        <v>165</v>
      </c>
      <c r="D11" t="s">
        <v>169</v>
      </c>
    </row>
    <row r="12" spans="1:10">
      <c r="A12" t="s">
        <v>166</v>
      </c>
      <c r="D12" t="s">
        <v>169</v>
      </c>
    </row>
  </sheetData>
  <pageMargins left="0.7" right="0.7" top="0.75" bottom="0.75" header="0.3" footer="0.3"/>
  <pageSetup orientation="portrait" horizontalDpi="0" verticalDpi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29A52-A390-674C-882A-D9471157342F}">
  <dimension ref="A1:AO81"/>
  <sheetViews>
    <sheetView workbookViewId="0"/>
  </sheetViews>
  <sheetFormatPr baseColWidth="10" defaultRowHeight="16"/>
  <cols>
    <col min="2" max="3" width="11" customWidth="1"/>
    <col min="7" max="12" width="8.33203125" customWidth="1"/>
    <col min="15" max="16" width="11.6640625" bestFit="1" customWidth="1"/>
    <col min="17" max="25" width="12.6640625" bestFit="1" customWidth="1"/>
    <col min="26" max="41" width="11.6640625" bestFit="1" customWidth="1"/>
  </cols>
  <sheetData>
    <row r="1" spans="1:7">
      <c r="A1" t="s">
        <v>45</v>
      </c>
    </row>
    <row r="2" spans="1:7">
      <c r="A2" t="s">
        <v>59</v>
      </c>
      <c r="D2">
        <f>Habitat!I14*0.000001*0.9</f>
        <v>4.9439086509909886</v>
      </c>
      <c r="E2" t="s">
        <v>47</v>
      </c>
    </row>
    <row r="3" spans="1:7">
      <c r="A3" t="s">
        <v>105</v>
      </c>
      <c r="D3">
        <v>247.1</v>
      </c>
    </row>
    <row r="4" spans="1:7">
      <c r="A4" t="s">
        <v>106</v>
      </c>
      <c r="D4">
        <v>100</v>
      </c>
    </row>
    <row r="6" spans="1:7">
      <c r="A6" t="s">
        <v>60</v>
      </c>
      <c r="D6">
        <v>0</v>
      </c>
    </row>
    <row r="8" spans="1:7">
      <c r="A8" t="s">
        <v>186</v>
      </c>
      <c r="D8">
        <f>IF(C19&gt;10,C19*D9*365.26,0)</f>
        <v>4595701.32</v>
      </c>
      <c r="F8">
        <f>D8/C19*1000/365.26</f>
        <v>12000</v>
      </c>
    </row>
    <row r="9" spans="1:7">
      <c r="A9" t="s">
        <v>187</v>
      </c>
      <c r="D9">
        <v>12</v>
      </c>
    </row>
    <row r="10" spans="1:7">
      <c r="A10" t="s">
        <v>46</v>
      </c>
      <c r="D10">
        <f>D4/D30</f>
        <v>2.5</v>
      </c>
      <c r="E10" t="s">
        <v>684</v>
      </c>
    </row>
    <row r="11" spans="1:7">
      <c r="A11" t="s">
        <v>46</v>
      </c>
      <c r="D11">
        <f>D10*Conversion!E18</f>
        <v>25000</v>
      </c>
      <c r="E11" t="s">
        <v>14</v>
      </c>
    </row>
    <row r="12" spans="1:7">
      <c r="A12" t="s">
        <v>685</v>
      </c>
      <c r="D12">
        <f>SUM(Crops!E:E)</f>
        <v>0.25</v>
      </c>
    </row>
    <row r="13" spans="1:7">
      <c r="F13" t="s">
        <v>153</v>
      </c>
    </row>
    <row r="14" spans="1:7">
      <c r="A14" s="5" t="s">
        <v>32</v>
      </c>
      <c r="D14" s="5">
        <f>D11*D30*D4</f>
        <v>100000000</v>
      </c>
    </row>
    <row r="15" spans="1:7">
      <c r="A15" s="5" t="s">
        <v>30</v>
      </c>
      <c r="D15" s="5">
        <v>0.95</v>
      </c>
    </row>
    <row r="16" spans="1:7">
      <c r="A16" s="5" t="s">
        <v>73</v>
      </c>
      <c r="D16" s="5">
        <v>25</v>
      </c>
      <c r="E16">
        <f>(D16-1)/D16</f>
        <v>0.96</v>
      </c>
      <c r="F16">
        <f>1/D16</f>
        <v>0.04</v>
      </c>
      <c r="G16" t="s">
        <v>61</v>
      </c>
    </row>
    <row r="17" spans="1:17">
      <c r="A17" s="5"/>
      <c r="D17" s="5"/>
      <c r="F17" t="s">
        <v>50</v>
      </c>
      <c r="G17" t="s">
        <v>74</v>
      </c>
      <c r="H17" t="s">
        <v>62</v>
      </c>
      <c r="I17" t="s">
        <v>52</v>
      </c>
      <c r="J17" t="s">
        <v>49</v>
      </c>
    </row>
    <row r="18" spans="1:17">
      <c r="A18" s="5" t="s">
        <v>71</v>
      </c>
      <c r="C18" s="5">
        <f>SUM(F18:J18)</f>
        <v>1029</v>
      </c>
      <c r="D18" t="s">
        <v>82</v>
      </c>
      <c r="F18">
        <f>D6</f>
        <v>0</v>
      </c>
      <c r="G18">
        <f>F32</f>
        <v>194</v>
      </c>
      <c r="H18">
        <f>CEILING(MAX(D22+D21,F35)*E16,1)</f>
        <v>401</v>
      </c>
      <c r="I18">
        <f>CEILING((D22+D21)*F16,1)</f>
        <v>17</v>
      </c>
      <c r="J18">
        <f>D21+D22</f>
        <v>417</v>
      </c>
    </row>
    <row r="19" spans="1:17">
      <c r="A19" s="5"/>
      <c r="C19">
        <f>(F18*1.1+G18*1.1+H18*1.1+I18*1.1+J18*0.9)</f>
        <v>1048.5</v>
      </c>
      <c r="D19" s="5" t="s">
        <v>112</v>
      </c>
    </row>
    <row r="20" spans="1:17">
      <c r="A20" s="5" t="s">
        <v>33</v>
      </c>
      <c r="E20" s="5">
        <f>FLOOR((D14-D6)*0.78,1)</f>
        <v>78000000</v>
      </c>
      <c r="F20">
        <f>F18</f>
        <v>0</v>
      </c>
      <c r="G20">
        <f>G18</f>
        <v>194</v>
      </c>
      <c r="H20">
        <f>H18</f>
        <v>401</v>
      </c>
      <c r="I20">
        <f>I18</f>
        <v>17</v>
      </c>
      <c r="J20">
        <f>D21+D22</f>
        <v>417</v>
      </c>
    </row>
    <row r="21" spans="1:17">
      <c r="A21" s="5" t="s">
        <v>78</v>
      </c>
      <c r="D21">
        <f>CEILING(F18/10+G18,1)</f>
        <v>194</v>
      </c>
    </row>
    <row r="22" spans="1:17">
      <c r="A22" s="5" t="s">
        <v>79</v>
      </c>
      <c r="D22">
        <f>CEILING(D21+D21*F16,1)+CEILING((D21+D21*F16)/10,1)</f>
        <v>223</v>
      </c>
    </row>
    <row r="23" spans="1:17">
      <c r="A23" s="5" t="s">
        <v>67</v>
      </c>
      <c r="D23">
        <v>0.2</v>
      </c>
    </row>
    <row r="24" spans="1:17">
      <c r="A24" s="5"/>
    </row>
    <row r="25" spans="1:17">
      <c r="A25" t="s">
        <v>25</v>
      </c>
      <c r="D25">
        <v>2</v>
      </c>
      <c r="E25" s="5">
        <f>(1/1000)*$D$25</f>
        <v>2E-3</v>
      </c>
      <c r="H25" s="5"/>
      <c r="I25" s="5"/>
      <c r="J25" s="5"/>
      <c r="K25" s="5"/>
      <c r="L25" s="5"/>
      <c r="M25" s="5"/>
      <c r="O25" s="5"/>
    </row>
    <row r="26" spans="1:17">
      <c r="A26" t="s">
        <v>26</v>
      </c>
      <c r="D26">
        <f>MAX(B44:B58)</f>
        <v>709</v>
      </c>
      <c r="E26" s="5"/>
      <c r="F26" s="5"/>
      <c r="G26" s="5"/>
      <c r="H26" s="5"/>
      <c r="I26" s="5"/>
      <c r="J26" s="5"/>
      <c r="K26" s="5"/>
      <c r="L26" s="5"/>
      <c r="M26" s="5"/>
      <c r="O26" s="5"/>
      <c r="P26" s="5"/>
      <c r="Q26" s="5"/>
    </row>
    <row r="27" spans="1:17">
      <c r="A27" t="s">
        <v>27</v>
      </c>
      <c r="D27">
        <f>MIN(B44:B58)</f>
        <v>441</v>
      </c>
      <c r="E27" s="5"/>
      <c r="F27" s="5"/>
      <c r="G27" s="5">
        <f>8*5</f>
        <v>40</v>
      </c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>
      <c r="A28" t="s">
        <v>28</v>
      </c>
      <c r="D28">
        <f>B75</f>
        <v>512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>
      <c r="A29" t="s">
        <v>76</v>
      </c>
      <c r="D29">
        <f>250*0.75</f>
        <v>187.5</v>
      </c>
      <c r="E29" s="5"/>
      <c r="F29" s="5"/>
      <c r="G29" s="5" t="s">
        <v>154</v>
      </c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>
      <c r="A30" t="s">
        <v>48</v>
      </c>
      <c r="D30">
        <v>40</v>
      </c>
      <c r="E30" t="s">
        <v>107</v>
      </c>
      <c r="F30" s="5"/>
      <c r="G30" s="5" t="s">
        <v>190</v>
      </c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>
      <c r="A31" t="s">
        <v>83</v>
      </c>
      <c r="D31">
        <v>25</v>
      </c>
      <c r="E31" s="5" t="s">
        <v>84</v>
      </c>
      <c r="F31" s="5"/>
      <c r="G31" s="5" t="s">
        <v>155</v>
      </c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>
      <c r="A32" t="s">
        <v>77</v>
      </c>
      <c r="D32">
        <f>Agriculture!D12</f>
        <v>18.18181818181818</v>
      </c>
      <c r="E32" s="5" t="s">
        <v>157</v>
      </c>
      <c r="F32" s="5">
        <f>CEILING((D32*D36)/D29,1)</f>
        <v>194</v>
      </c>
      <c r="G32" s="5" t="s">
        <v>82</v>
      </c>
      <c r="H32" s="5"/>
      <c r="J32" s="5"/>
      <c r="K32" s="5"/>
      <c r="L32" s="5"/>
      <c r="M32" s="5"/>
      <c r="N32" s="5"/>
      <c r="O32" s="5"/>
      <c r="P32" s="5"/>
      <c r="Q32" s="5"/>
    </row>
    <row r="33" spans="1:41">
      <c r="D33" s="5">
        <f>D32*2.2</f>
        <v>40</v>
      </c>
      <c r="E33" s="5" t="s">
        <v>243</v>
      </c>
      <c r="F33" s="5"/>
      <c r="G33" s="5" t="s">
        <v>244</v>
      </c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41"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41">
      <c r="A35" t="s">
        <v>75</v>
      </c>
      <c r="D35">
        <v>250</v>
      </c>
      <c r="E35" s="5" t="s">
        <v>81</v>
      </c>
      <c r="F35" s="5">
        <f>CEILING((D36*D35)/(D31*365.26),1)</f>
        <v>55</v>
      </c>
      <c r="G35" s="5" t="s">
        <v>82</v>
      </c>
      <c r="H35" s="5" t="s">
        <v>80</v>
      </c>
      <c r="I35" s="5"/>
      <c r="J35" s="5"/>
      <c r="K35" s="5"/>
      <c r="L35" s="5"/>
      <c r="M35" s="5"/>
      <c r="N35" s="5"/>
      <c r="O35" s="5"/>
      <c r="P35" s="5"/>
      <c r="Q35" s="5"/>
    </row>
    <row r="36" spans="1:41">
      <c r="A36" t="s">
        <v>85</v>
      </c>
      <c r="D36">
        <f>Vehicle!B1</f>
        <v>2000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41"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41"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41">
      <c r="A39" t="s">
        <v>28</v>
      </c>
      <c r="D39" s="1"/>
      <c r="E39" s="5"/>
      <c r="F39" s="5" t="s">
        <v>29</v>
      </c>
      <c r="G39" s="5"/>
      <c r="H39" s="5"/>
      <c r="I39" s="5"/>
      <c r="J39" s="5"/>
      <c r="K39" s="5"/>
      <c r="L39" s="5"/>
      <c r="M39" s="5"/>
      <c r="N39" s="5">
        <f>1/15</f>
        <v>6.6666666666666666E-2</v>
      </c>
      <c r="O39" s="5"/>
      <c r="P39" s="5"/>
      <c r="Q39" s="5"/>
    </row>
    <row r="40" spans="1:41">
      <c r="D40" s="1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41" ht="17" thickBot="1">
      <c r="D41" s="1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41">
      <c r="A42" t="s">
        <v>54</v>
      </c>
      <c r="B42" t="s">
        <v>12</v>
      </c>
      <c r="C42" t="s">
        <v>50</v>
      </c>
      <c r="D42" t="s">
        <v>62</v>
      </c>
      <c r="E42" t="s">
        <v>63</v>
      </c>
      <c r="F42" t="s">
        <v>64</v>
      </c>
      <c r="G42" t="s">
        <v>65</v>
      </c>
      <c r="H42" t="s">
        <v>66</v>
      </c>
      <c r="I42" t="s">
        <v>68</v>
      </c>
      <c r="J42" t="s">
        <v>69</v>
      </c>
      <c r="K42" t="s">
        <v>70</v>
      </c>
      <c r="L42" t="s">
        <v>72</v>
      </c>
      <c r="M42">
        <v>1</v>
      </c>
      <c r="N42">
        <v>2</v>
      </c>
      <c r="O42" s="28" t="s">
        <v>53</v>
      </c>
      <c r="P42" s="29"/>
      <c r="Q42" s="29" t="s">
        <v>51</v>
      </c>
      <c r="R42" s="29"/>
      <c r="S42" s="29"/>
      <c r="T42" s="29"/>
      <c r="U42" s="29"/>
      <c r="V42" s="29"/>
      <c r="W42" s="30"/>
      <c r="X42" s="22" t="s">
        <v>56</v>
      </c>
      <c r="Y42" s="23"/>
      <c r="Z42" s="23"/>
      <c r="AA42" s="23"/>
      <c r="AB42" s="23"/>
      <c r="AC42" s="23"/>
      <c r="AD42" s="23"/>
      <c r="AE42" s="23"/>
      <c r="AF42" s="24"/>
      <c r="AG42" s="16" t="s">
        <v>52</v>
      </c>
      <c r="AH42" s="17"/>
      <c r="AI42" s="17"/>
      <c r="AJ42" s="17"/>
      <c r="AK42" s="17"/>
      <c r="AL42" s="17"/>
      <c r="AM42" s="17"/>
      <c r="AN42" s="17"/>
      <c r="AO42" s="18"/>
    </row>
    <row r="43" spans="1:41" ht="17" thickBot="1">
      <c r="D43">
        <f>H18</f>
        <v>401</v>
      </c>
      <c r="M43" t="s">
        <v>55</v>
      </c>
      <c r="N43" t="s">
        <v>74</v>
      </c>
      <c r="O43" s="31">
        <v>2</v>
      </c>
      <c r="P43" s="32">
        <v>3</v>
      </c>
      <c r="Q43" s="32">
        <v>4</v>
      </c>
      <c r="R43" s="32">
        <v>5</v>
      </c>
      <c r="S43" s="32">
        <v>6</v>
      </c>
      <c r="T43" s="32">
        <v>7</v>
      </c>
      <c r="U43" s="32">
        <v>8</v>
      </c>
      <c r="V43" s="32">
        <v>9</v>
      </c>
      <c r="W43" s="33">
        <v>10</v>
      </c>
      <c r="X43" s="25">
        <v>2</v>
      </c>
      <c r="Y43" s="26">
        <v>3</v>
      </c>
      <c r="Z43" s="26">
        <v>4</v>
      </c>
      <c r="AA43" s="26">
        <v>5</v>
      </c>
      <c r="AB43" s="26">
        <v>6</v>
      </c>
      <c r="AC43" s="26">
        <v>7</v>
      </c>
      <c r="AD43" s="26">
        <v>8</v>
      </c>
      <c r="AE43" s="26">
        <v>9</v>
      </c>
      <c r="AF43" s="27">
        <v>10</v>
      </c>
      <c r="AG43" s="19">
        <v>2</v>
      </c>
      <c r="AH43" s="20">
        <v>3</v>
      </c>
      <c r="AI43" s="20">
        <v>4</v>
      </c>
      <c r="AJ43" s="20">
        <v>5</v>
      </c>
      <c r="AK43" s="20">
        <v>6</v>
      </c>
      <c r="AL43" s="20">
        <v>7</v>
      </c>
      <c r="AM43" s="20">
        <v>8</v>
      </c>
      <c r="AN43" s="20">
        <v>9</v>
      </c>
      <c r="AO43" s="21">
        <v>10</v>
      </c>
    </row>
    <row r="44" spans="1:41">
      <c r="A44">
        <v>0</v>
      </c>
      <c r="B44">
        <f>FLOOR(SUM(N44:AO44),1)</f>
        <v>709</v>
      </c>
      <c r="C44">
        <f>FLOOR(SUM(X44:AF44),1)</f>
        <v>0</v>
      </c>
      <c r="D44">
        <f>FLOOR(SUM(Q44:W44),1)</f>
        <v>401</v>
      </c>
      <c r="E44">
        <f>FLOOR(SUM(AG44:AO44),1)</f>
        <v>17</v>
      </c>
      <c r="F44">
        <f>D44/E44</f>
        <v>23.588235294117649</v>
      </c>
      <c r="G44">
        <f>IF(F43&gt;$D$16*1.1,1,0.5)</f>
        <v>0.5</v>
      </c>
      <c r="H44">
        <f t="shared" ref="H44:H80" si="0">IF(D43&lt;=$H$18,1,0.75)</f>
        <v>1</v>
      </c>
      <c r="I44">
        <f t="shared" ref="I44:I80" si="1">IF(C43&lt;$F$18,1,0.5)</f>
        <v>0.5</v>
      </c>
      <c r="M44">
        <f>IF(D43&gt;($D$21+$D$22),$D$21+$D$22,D43)</f>
        <v>401</v>
      </c>
      <c r="N44">
        <f>$G$20*1.5</f>
        <v>291</v>
      </c>
      <c r="O44" s="3">
        <v>0</v>
      </c>
      <c r="P44" s="3">
        <v>0</v>
      </c>
      <c r="Q44" s="3">
        <f>H18/4</f>
        <v>100.25</v>
      </c>
      <c r="R44" s="3">
        <f>Q44</f>
        <v>100.25</v>
      </c>
      <c r="S44" s="3">
        <f>R44</f>
        <v>100.25</v>
      </c>
      <c r="T44" s="3">
        <f>S44</f>
        <v>100.25</v>
      </c>
      <c r="U44" s="3"/>
      <c r="V44" s="3"/>
      <c r="W44" s="3"/>
      <c r="X44" s="3">
        <f>F18</f>
        <v>0</v>
      </c>
      <c r="Y44" s="3">
        <v>0</v>
      </c>
      <c r="Z44" s="3">
        <v>0</v>
      </c>
      <c r="AA44" s="3"/>
      <c r="AB44" s="3"/>
      <c r="AC44" s="3"/>
      <c r="AD44" s="3"/>
      <c r="AE44" s="3"/>
      <c r="AF44" s="3"/>
      <c r="AG44" s="3">
        <f>I20</f>
        <v>17</v>
      </c>
      <c r="AH44" s="3">
        <f>I20-AG44</f>
        <v>0</v>
      </c>
      <c r="AI44" s="3"/>
      <c r="AJ44" s="3"/>
      <c r="AK44" s="3"/>
      <c r="AL44" s="3"/>
      <c r="AM44" s="3"/>
      <c r="AN44" s="3">
        <v>0</v>
      </c>
      <c r="AO44" s="3">
        <v>0</v>
      </c>
    </row>
    <row r="45" spans="1:41">
      <c r="A45">
        <v>1</v>
      </c>
      <c r="B45">
        <f t="shared" ref="B45:B80" si="2">FLOOR(SUM(N45:AO45),1)</f>
        <v>631</v>
      </c>
      <c r="C45">
        <f t="shared" ref="C45:C80" si="3">FLOOR(SUM(X45:AF45),1)</f>
        <v>0</v>
      </c>
      <c r="D45">
        <f t="shared" ref="D45:D80" si="4">FLOOR(SUM(Q45:W45),1)</f>
        <v>380</v>
      </c>
      <c r="E45">
        <f t="shared" ref="E45:E80" si="5">FLOOR(SUM(AG45:AO45),1)</f>
        <v>16</v>
      </c>
      <c r="F45">
        <f>IF(E45&gt;0,D45/E45,0)</f>
        <v>23.75</v>
      </c>
      <c r="G45">
        <f t="shared" ref="G45:G80" si="6">IF(F44&gt;$D$16*1.1,1,0.5)</f>
        <v>0.5</v>
      </c>
      <c r="H45">
        <f t="shared" si="0"/>
        <v>1</v>
      </c>
      <c r="I45">
        <f t="shared" si="1"/>
        <v>0.5</v>
      </c>
      <c r="J45">
        <f>SUM(O44:AO44)-SUM(P45:W45)-SUM(Y45:AF45)-SUM(AH45:AO45)</f>
        <v>20.900000000000013</v>
      </c>
      <c r="K45">
        <f>IF(J45&gt;0,J45,0)+N45</f>
        <v>214.9</v>
      </c>
      <c r="L45">
        <f>D45*87</f>
        <v>33060</v>
      </c>
      <c r="M45">
        <f t="shared" ref="M45:M80" si="7">IF(D44&gt;($D$21+$D$22),$D$21+$D$22,D44)</f>
        <v>401</v>
      </c>
      <c r="N45">
        <f t="shared" ref="N45:N80" si="8">IF(M44&gt;$G$18,$G$18,M44-O45-X45-AG45)</f>
        <v>194</v>
      </c>
      <c r="O45" s="3">
        <f t="shared" ref="O45:O80" si="9">$H$18/10+IF(D44&lt;$H$18,2,0)</f>
        <v>40.1</v>
      </c>
      <c r="P45" s="3">
        <f>O44*$D$15</f>
        <v>0</v>
      </c>
      <c r="Q45" s="3">
        <f>P44*$D$15</f>
        <v>0</v>
      </c>
      <c r="R45" s="3">
        <f>Q44*$D$15</f>
        <v>95.237499999999997</v>
      </c>
      <c r="S45" s="3">
        <f>R44*$D$15</f>
        <v>95.237499999999997</v>
      </c>
      <c r="T45" s="3">
        <f>S44*$D$15*$H45</f>
        <v>95.237499999999997</v>
      </c>
      <c r="U45" s="3">
        <f t="shared" ref="U45:W60" si="10">T44*$D$15*$H45</f>
        <v>95.237499999999997</v>
      </c>
      <c r="V45" s="3">
        <f t="shared" si="10"/>
        <v>0</v>
      </c>
      <c r="W45" s="3">
        <f t="shared" si="10"/>
        <v>0</v>
      </c>
      <c r="X45" s="3">
        <f>$D$6/10</f>
        <v>0</v>
      </c>
      <c r="Y45" s="3">
        <f>X44*$D$15</f>
        <v>0</v>
      </c>
      <c r="Z45" s="3">
        <f t="shared" ref="Z45:AF45" si="11">Y44*$D$15*$I44</f>
        <v>0</v>
      </c>
      <c r="AA45" s="3">
        <f t="shared" si="11"/>
        <v>0</v>
      </c>
      <c r="AB45" s="3">
        <f t="shared" si="11"/>
        <v>0</v>
      </c>
      <c r="AC45" s="3">
        <f t="shared" si="11"/>
        <v>0</v>
      </c>
      <c r="AD45" s="3">
        <f t="shared" si="11"/>
        <v>0</v>
      </c>
      <c r="AE45" s="3">
        <f t="shared" si="11"/>
        <v>0</v>
      </c>
      <c r="AF45" s="3">
        <f t="shared" si="11"/>
        <v>0</v>
      </c>
      <c r="AG45" s="3">
        <f t="shared" ref="AG45:AG80" si="12">IF(E44&lt;$I$18,1,0)</f>
        <v>0</v>
      </c>
      <c r="AH45" s="3">
        <f>AG44*$D$15</f>
        <v>16.149999999999999</v>
      </c>
      <c r="AI45" s="3">
        <f t="shared" ref="AI45:AO45" si="13">AH44*$D$15*$G44</f>
        <v>0</v>
      </c>
      <c r="AJ45" s="3">
        <f t="shared" si="13"/>
        <v>0</v>
      </c>
      <c r="AK45" s="3">
        <f t="shared" si="13"/>
        <v>0</v>
      </c>
      <c r="AL45" s="3">
        <f t="shared" si="13"/>
        <v>0</v>
      </c>
      <c r="AM45" s="3">
        <f t="shared" si="13"/>
        <v>0</v>
      </c>
      <c r="AN45" s="3">
        <f t="shared" si="13"/>
        <v>0</v>
      </c>
      <c r="AO45" s="3">
        <f t="shared" si="13"/>
        <v>0</v>
      </c>
    </row>
    <row r="46" spans="1:41">
      <c r="A46">
        <f>A45+1</f>
        <v>2</v>
      </c>
      <c r="B46">
        <f t="shared" si="2"/>
        <v>644</v>
      </c>
      <c r="C46">
        <f t="shared" si="3"/>
        <v>0</v>
      </c>
      <c r="D46">
        <f t="shared" si="4"/>
        <v>361</v>
      </c>
      <c r="E46">
        <f t="shared" si="5"/>
        <v>8</v>
      </c>
      <c r="F46">
        <f t="shared" ref="F46:F81" si="14">IF(E46&gt;0,D46/E46,0)</f>
        <v>45.125</v>
      </c>
      <c r="G46">
        <f t="shared" si="6"/>
        <v>0.5</v>
      </c>
      <c r="H46">
        <f t="shared" si="0"/>
        <v>1</v>
      </c>
      <c r="I46">
        <f t="shared" si="1"/>
        <v>0.5</v>
      </c>
      <c r="J46">
        <f t="shared" ref="J46:J75" si="15">SUM(O45:AO45)-SUM(P46:W46)-SUM(Y46:AF46)-SUM(AH46:AO46)</f>
        <v>29.531250000000043</v>
      </c>
      <c r="K46">
        <f t="shared" ref="K46:K75" si="16">IF(J46&gt;0,J46,0)+N46</f>
        <v>223.53125000000006</v>
      </c>
      <c r="L46">
        <f t="shared" ref="L46:L80" si="17">D46*87*365.25</f>
        <v>11471406.75</v>
      </c>
      <c r="M46">
        <f t="shared" si="7"/>
        <v>380</v>
      </c>
      <c r="N46">
        <f t="shared" si="8"/>
        <v>194</v>
      </c>
      <c r="O46" s="3">
        <f t="shared" si="9"/>
        <v>42.1</v>
      </c>
      <c r="P46" s="3">
        <f t="shared" ref="P46:S80" si="18">O45*$D$15</f>
        <v>38.094999999999999</v>
      </c>
      <c r="Q46" s="3">
        <f t="shared" si="18"/>
        <v>0</v>
      </c>
      <c r="R46" s="3">
        <f t="shared" si="18"/>
        <v>0</v>
      </c>
      <c r="S46" s="3">
        <f t="shared" si="18"/>
        <v>90.475624999999994</v>
      </c>
      <c r="T46" s="3">
        <f t="shared" ref="T46:W80" si="19">S45*$D$15*$H46</f>
        <v>90.475624999999994</v>
      </c>
      <c r="U46" s="3">
        <f t="shared" si="10"/>
        <v>90.475624999999994</v>
      </c>
      <c r="V46" s="3">
        <f t="shared" si="10"/>
        <v>90.475624999999994</v>
      </c>
      <c r="W46" s="3">
        <f t="shared" si="10"/>
        <v>0</v>
      </c>
      <c r="X46" s="3">
        <f t="shared" ref="X46:X80" si="20">$D$6/10</f>
        <v>0</v>
      </c>
      <c r="Y46" s="3">
        <f t="shared" ref="Y46:Y80" si="21">X45*$D$15</f>
        <v>0</v>
      </c>
      <c r="Z46" s="3">
        <f t="shared" ref="Z46:Z80" si="22">Y45*$D$15*$I45</f>
        <v>0</v>
      </c>
      <c r="AA46" s="3">
        <f t="shared" ref="AA46:AA80" si="23">Z45*$D$15*$I45</f>
        <v>0</v>
      </c>
      <c r="AB46" s="3">
        <f t="shared" ref="AB46:AB80" si="24">AA45*$D$15*$I45</f>
        <v>0</v>
      </c>
      <c r="AC46" s="3">
        <f t="shared" ref="AC46:AC80" si="25">AB45*$D$15*$I45</f>
        <v>0</v>
      </c>
      <c r="AD46" s="3">
        <f t="shared" ref="AD46:AD80" si="26">AC45*$D$15*$I45</f>
        <v>0</v>
      </c>
      <c r="AE46" s="3">
        <f t="shared" ref="AE46:AE80" si="27">AD45*$D$15*$I45</f>
        <v>0</v>
      </c>
      <c r="AF46" s="3">
        <f t="shared" ref="AF46:AF80" si="28">AE45*$D$15*$I45</f>
        <v>0</v>
      </c>
      <c r="AG46" s="3">
        <f t="shared" si="12"/>
        <v>1</v>
      </c>
      <c r="AH46" s="3">
        <f t="shared" ref="AH46:AH80" si="29">AG45*$D$15</f>
        <v>0</v>
      </c>
      <c r="AI46" s="3">
        <f t="shared" ref="AI46:AI80" si="30">AH45*$D$15*$G45</f>
        <v>7.6712499999999988</v>
      </c>
      <c r="AJ46" s="3">
        <f t="shared" ref="AJ46:AJ80" si="31">AI45*$D$15*$G45</f>
        <v>0</v>
      </c>
      <c r="AK46" s="3">
        <f t="shared" ref="AK46:AK80" si="32">AJ45*$D$15*$G45</f>
        <v>0</v>
      </c>
      <c r="AL46" s="3">
        <f t="shared" ref="AL46:AL80" si="33">AK45*$D$15*$G45</f>
        <v>0</v>
      </c>
      <c r="AM46" s="3">
        <f t="shared" ref="AM46:AM80" si="34">AL45*$D$15*$G45</f>
        <v>0</v>
      </c>
      <c r="AN46" s="3">
        <f t="shared" ref="AN46:AN80" si="35">AM45*$D$15*$G45</f>
        <v>0</v>
      </c>
      <c r="AO46" s="3">
        <f t="shared" ref="AO46:AO80" si="36">AN45*$D$15*$G45</f>
        <v>0</v>
      </c>
    </row>
    <row r="47" spans="1:41">
      <c r="A47">
        <f t="shared" ref="A47:A49" si="37">A46+1</f>
        <v>3</v>
      </c>
      <c r="B47">
        <f t="shared" si="2"/>
        <v>661</v>
      </c>
      <c r="C47">
        <f t="shared" si="3"/>
        <v>0</v>
      </c>
      <c r="D47">
        <f t="shared" si="4"/>
        <v>379</v>
      </c>
      <c r="E47">
        <f t="shared" si="5"/>
        <v>5</v>
      </c>
      <c r="F47">
        <f t="shared" si="14"/>
        <v>75.8</v>
      </c>
      <c r="G47">
        <f t="shared" si="6"/>
        <v>1</v>
      </c>
      <c r="H47">
        <f t="shared" si="0"/>
        <v>1</v>
      </c>
      <c r="I47">
        <f t="shared" si="1"/>
        <v>0.5</v>
      </c>
      <c r="J47">
        <f t="shared" si="15"/>
        <v>26.182281249999924</v>
      </c>
      <c r="K47">
        <f t="shared" si="16"/>
        <v>220.18228124999993</v>
      </c>
      <c r="L47">
        <f t="shared" si="17"/>
        <v>12043388.25</v>
      </c>
      <c r="M47">
        <f t="shared" si="7"/>
        <v>361</v>
      </c>
      <c r="N47">
        <f t="shared" si="8"/>
        <v>194</v>
      </c>
      <c r="O47" s="3">
        <f t="shared" si="9"/>
        <v>42.1</v>
      </c>
      <c r="P47" s="3">
        <f t="shared" si="18"/>
        <v>39.994999999999997</v>
      </c>
      <c r="Q47" s="3">
        <f t="shared" si="18"/>
        <v>36.190249999999999</v>
      </c>
      <c r="R47" s="3">
        <f t="shared" si="18"/>
        <v>0</v>
      </c>
      <c r="S47" s="3">
        <f t="shared" si="18"/>
        <v>0</v>
      </c>
      <c r="T47" s="3">
        <f t="shared" si="19"/>
        <v>85.951843749999995</v>
      </c>
      <c r="U47" s="3">
        <f t="shared" si="10"/>
        <v>85.951843749999995</v>
      </c>
      <c r="V47" s="3">
        <f t="shared" si="10"/>
        <v>85.951843749999995</v>
      </c>
      <c r="W47" s="3">
        <f t="shared" si="10"/>
        <v>85.951843749999995</v>
      </c>
      <c r="X47" s="3">
        <f t="shared" si="20"/>
        <v>0</v>
      </c>
      <c r="Y47" s="3">
        <f t="shared" si="21"/>
        <v>0</v>
      </c>
      <c r="Z47" s="3">
        <f t="shared" si="22"/>
        <v>0</v>
      </c>
      <c r="AA47" s="3">
        <f t="shared" si="23"/>
        <v>0</v>
      </c>
      <c r="AB47" s="3">
        <f t="shared" si="24"/>
        <v>0</v>
      </c>
      <c r="AC47" s="3">
        <f t="shared" si="25"/>
        <v>0</v>
      </c>
      <c r="AD47" s="3">
        <f t="shared" si="26"/>
        <v>0</v>
      </c>
      <c r="AE47" s="3">
        <f t="shared" si="27"/>
        <v>0</v>
      </c>
      <c r="AF47" s="3">
        <f t="shared" si="28"/>
        <v>0</v>
      </c>
      <c r="AG47" s="3">
        <f t="shared" si="12"/>
        <v>1</v>
      </c>
      <c r="AH47" s="3">
        <f t="shared" si="29"/>
        <v>0.95</v>
      </c>
      <c r="AI47" s="3">
        <f>AH46*$D$15*$G46</f>
        <v>0</v>
      </c>
      <c r="AJ47" s="3">
        <f t="shared" si="31"/>
        <v>3.6438437499999994</v>
      </c>
      <c r="AK47" s="3">
        <f t="shared" si="32"/>
        <v>0</v>
      </c>
      <c r="AL47" s="3">
        <f t="shared" si="33"/>
        <v>0</v>
      </c>
      <c r="AM47" s="3">
        <f t="shared" si="34"/>
        <v>0</v>
      </c>
      <c r="AN47" s="3">
        <f t="shared" si="35"/>
        <v>0</v>
      </c>
      <c r="AO47" s="3">
        <f t="shared" si="36"/>
        <v>0</v>
      </c>
    </row>
    <row r="48" spans="1:41">
      <c r="A48">
        <f t="shared" si="37"/>
        <v>4</v>
      </c>
      <c r="B48">
        <f t="shared" si="2"/>
        <v>599</v>
      </c>
      <c r="C48">
        <f t="shared" si="3"/>
        <v>0</v>
      </c>
      <c r="D48">
        <f t="shared" si="4"/>
        <v>317</v>
      </c>
      <c r="E48">
        <f t="shared" si="5"/>
        <v>6</v>
      </c>
      <c r="F48">
        <f t="shared" si="14"/>
        <v>52.833333333333336</v>
      </c>
      <c r="G48">
        <f t="shared" si="6"/>
        <v>1</v>
      </c>
      <c r="H48">
        <f t="shared" si="0"/>
        <v>1</v>
      </c>
      <c r="I48">
        <f t="shared" si="1"/>
        <v>0.5</v>
      </c>
      <c r="J48">
        <f t="shared" si="15"/>
        <v>105.03857499999987</v>
      </c>
      <c r="K48">
        <f t="shared" si="16"/>
        <v>299.03857499999987</v>
      </c>
      <c r="L48">
        <f t="shared" si="17"/>
        <v>10073229.75</v>
      </c>
      <c r="M48">
        <f t="shared" si="7"/>
        <v>379</v>
      </c>
      <c r="N48">
        <f t="shared" si="8"/>
        <v>194</v>
      </c>
      <c r="O48" s="3">
        <f t="shared" si="9"/>
        <v>42.1</v>
      </c>
      <c r="P48" s="3">
        <f t="shared" si="18"/>
        <v>39.994999999999997</v>
      </c>
      <c r="Q48" s="3">
        <f t="shared" si="18"/>
        <v>37.995249999999999</v>
      </c>
      <c r="R48" s="3">
        <f t="shared" si="18"/>
        <v>34.380737499999995</v>
      </c>
      <c r="S48" s="3">
        <f t="shared" si="18"/>
        <v>0</v>
      </c>
      <c r="T48" s="3">
        <f t="shared" si="19"/>
        <v>0</v>
      </c>
      <c r="U48" s="3">
        <f t="shared" si="10"/>
        <v>81.654251562499994</v>
      </c>
      <c r="V48" s="3">
        <f t="shared" si="10"/>
        <v>81.654251562499994</v>
      </c>
      <c r="W48" s="3">
        <f t="shared" si="10"/>
        <v>81.654251562499994</v>
      </c>
      <c r="X48" s="3">
        <f t="shared" si="20"/>
        <v>0</v>
      </c>
      <c r="Y48" s="3">
        <f t="shared" si="21"/>
        <v>0</v>
      </c>
      <c r="Z48" s="3">
        <f t="shared" si="22"/>
        <v>0</v>
      </c>
      <c r="AA48" s="3">
        <f t="shared" si="23"/>
        <v>0</v>
      </c>
      <c r="AB48" s="3">
        <f t="shared" si="24"/>
        <v>0</v>
      </c>
      <c r="AC48" s="3">
        <f t="shared" si="25"/>
        <v>0</v>
      </c>
      <c r="AD48" s="3">
        <f t="shared" si="26"/>
        <v>0</v>
      </c>
      <c r="AE48" s="3">
        <f t="shared" si="27"/>
        <v>0</v>
      </c>
      <c r="AF48" s="3">
        <f t="shared" si="28"/>
        <v>0</v>
      </c>
      <c r="AG48" s="3">
        <f t="shared" si="12"/>
        <v>1</v>
      </c>
      <c r="AH48" s="3">
        <f t="shared" si="29"/>
        <v>0.95</v>
      </c>
      <c r="AI48" s="3">
        <f t="shared" si="30"/>
        <v>0.90249999999999997</v>
      </c>
      <c r="AJ48" s="3">
        <f t="shared" si="31"/>
        <v>0</v>
      </c>
      <c r="AK48" s="3">
        <f t="shared" si="32"/>
        <v>3.4616515624999993</v>
      </c>
      <c r="AL48" s="3">
        <f t="shared" si="33"/>
        <v>0</v>
      </c>
      <c r="AM48" s="3">
        <f t="shared" si="34"/>
        <v>0</v>
      </c>
      <c r="AN48" s="3">
        <f t="shared" si="35"/>
        <v>0</v>
      </c>
      <c r="AO48" s="3">
        <f t="shared" si="36"/>
        <v>0</v>
      </c>
    </row>
    <row r="49" spans="1:41">
      <c r="A49">
        <f t="shared" si="37"/>
        <v>5</v>
      </c>
      <c r="B49">
        <f t="shared" si="2"/>
        <v>544</v>
      </c>
      <c r="C49">
        <f t="shared" si="3"/>
        <v>0</v>
      </c>
      <c r="D49">
        <f t="shared" si="4"/>
        <v>261</v>
      </c>
      <c r="E49">
        <f t="shared" si="5"/>
        <v>6</v>
      </c>
      <c r="F49">
        <f t="shared" si="14"/>
        <v>43.5</v>
      </c>
      <c r="G49">
        <f t="shared" si="6"/>
        <v>1</v>
      </c>
      <c r="H49">
        <f t="shared" si="0"/>
        <v>1</v>
      </c>
      <c r="I49">
        <f t="shared" si="1"/>
        <v>0.5</v>
      </c>
      <c r="J49">
        <f t="shared" si="15"/>
        <v>97.858933671874979</v>
      </c>
      <c r="K49">
        <f t="shared" si="16"/>
        <v>291.85893367187498</v>
      </c>
      <c r="L49">
        <f t="shared" si="17"/>
        <v>8293731.75</v>
      </c>
      <c r="M49">
        <f t="shared" si="7"/>
        <v>317</v>
      </c>
      <c r="N49">
        <f t="shared" si="8"/>
        <v>194</v>
      </c>
      <c r="O49" s="3">
        <f t="shared" si="9"/>
        <v>42.1</v>
      </c>
      <c r="P49" s="3">
        <f t="shared" si="18"/>
        <v>39.994999999999997</v>
      </c>
      <c r="Q49" s="3">
        <f t="shared" si="18"/>
        <v>37.995249999999999</v>
      </c>
      <c r="R49" s="3">
        <f t="shared" si="18"/>
        <v>36.095487499999997</v>
      </c>
      <c r="S49" s="3">
        <f t="shared" si="18"/>
        <v>32.661700624999995</v>
      </c>
      <c r="T49" s="3">
        <f t="shared" si="19"/>
        <v>0</v>
      </c>
      <c r="U49" s="3">
        <f t="shared" si="10"/>
        <v>0</v>
      </c>
      <c r="V49" s="3">
        <f t="shared" si="10"/>
        <v>77.571538984374996</v>
      </c>
      <c r="W49" s="3">
        <f t="shared" si="10"/>
        <v>77.571538984374996</v>
      </c>
      <c r="X49" s="3">
        <f t="shared" si="20"/>
        <v>0</v>
      </c>
      <c r="Y49" s="3">
        <f t="shared" si="21"/>
        <v>0</v>
      </c>
      <c r="Z49" s="3">
        <f t="shared" si="22"/>
        <v>0</v>
      </c>
      <c r="AA49" s="3">
        <f t="shared" si="23"/>
        <v>0</v>
      </c>
      <c r="AB49" s="3">
        <f t="shared" si="24"/>
        <v>0</v>
      </c>
      <c r="AC49" s="3">
        <f t="shared" si="25"/>
        <v>0</v>
      </c>
      <c r="AD49" s="3">
        <f t="shared" si="26"/>
        <v>0</v>
      </c>
      <c r="AE49" s="3">
        <f t="shared" si="27"/>
        <v>0</v>
      </c>
      <c r="AF49" s="3">
        <f t="shared" si="28"/>
        <v>0</v>
      </c>
      <c r="AG49" s="3">
        <f t="shared" si="12"/>
        <v>1</v>
      </c>
      <c r="AH49" s="3">
        <f t="shared" si="29"/>
        <v>0.95</v>
      </c>
      <c r="AI49" s="3">
        <f t="shared" si="30"/>
        <v>0.90249999999999997</v>
      </c>
      <c r="AJ49" s="3">
        <f t="shared" si="31"/>
        <v>0.85737499999999989</v>
      </c>
      <c r="AK49" s="3">
        <f t="shared" si="32"/>
        <v>0</v>
      </c>
      <c r="AL49" s="3">
        <f t="shared" si="33"/>
        <v>3.288568984374999</v>
      </c>
      <c r="AM49" s="3">
        <f t="shared" si="34"/>
        <v>0</v>
      </c>
      <c r="AN49" s="3">
        <f t="shared" si="35"/>
        <v>0</v>
      </c>
      <c r="AO49" s="3">
        <f t="shared" si="36"/>
        <v>0</v>
      </c>
    </row>
    <row r="50" spans="1:41">
      <c r="A50">
        <f t="shared" ref="A50:A58" si="38">A49+1</f>
        <v>6</v>
      </c>
      <c r="B50">
        <f t="shared" si="2"/>
        <v>496</v>
      </c>
      <c r="C50">
        <f t="shared" si="3"/>
        <v>0</v>
      </c>
      <c r="D50">
        <f t="shared" si="4"/>
        <v>213</v>
      </c>
      <c r="E50">
        <f t="shared" si="5"/>
        <v>7</v>
      </c>
      <c r="F50">
        <f t="shared" si="14"/>
        <v>30.428571428571427</v>
      </c>
      <c r="G50">
        <f t="shared" si="6"/>
        <v>1</v>
      </c>
      <c r="H50">
        <f t="shared" si="0"/>
        <v>1</v>
      </c>
      <c r="I50">
        <f t="shared" si="1"/>
        <v>0.5</v>
      </c>
      <c r="J50">
        <f t="shared" si="15"/>
        <v>91.242410039062435</v>
      </c>
      <c r="K50">
        <f t="shared" si="16"/>
        <v>285.24241003906241</v>
      </c>
      <c r="L50">
        <f t="shared" si="17"/>
        <v>6768447.75</v>
      </c>
      <c r="M50">
        <f t="shared" si="7"/>
        <v>261</v>
      </c>
      <c r="N50">
        <f t="shared" si="8"/>
        <v>194</v>
      </c>
      <c r="O50" s="3">
        <f t="shared" si="9"/>
        <v>42.1</v>
      </c>
      <c r="P50" s="3">
        <f t="shared" si="18"/>
        <v>39.994999999999997</v>
      </c>
      <c r="Q50" s="3">
        <f t="shared" si="18"/>
        <v>37.995249999999999</v>
      </c>
      <c r="R50" s="3">
        <f t="shared" si="18"/>
        <v>36.095487499999997</v>
      </c>
      <c r="S50" s="3">
        <f t="shared" si="18"/>
        <v>34.290713124999996</v>
      </c>
      <c r="T50" s="3">
        <f t="shared" si="19"/>
        <v>31.028615593749993</v>
      </c>
      <c r="U50" s="3">
        <f t="shared" si="10"/>
        <v>0</v>
      </c>
      <c r="V50" s="3">
        <f t="shared" si="10"/>
        <v>0</v>
      </c>
      <c r="W50" s="3">
        <f t="shared" si="10"/>
        <v>73.692962035156242</v>
      </c>
      <c r="X50" s="3">
        <f t="shared" si="20"/>
        <v>0</v>
      </c>
      <c r="Y50" s="3">
        <f t="shared" si="21"/>
        <v>0</v>
      </c>
      <c r="Z50" s="3">
        <f t="shared" si="22"/>
        <v>0</v>
      </c>
      <c r="AA50" s="3">
        <f t="shared" si="23"/>
        <v>0</v>
      </c>
      <c r="AB50" s="3">
        <f t="shared" si="24"/>
        <v>0</v>
      </c>
      <c r="AC50" s="3">
        <f t="shared" si="25"/>
        <v>0</v>
      </c>
      <c r="AD50" s="3">
        <f t="shared" si="26"/>
        <v>0</v>
      </c>
      <c r="AE50" s="3">
        <f t="shared" si="27"/>
        <v>0</v>
      </c>
      <c r="AF50" s="3">
        <f t="shared" si="28"/>
        <v>0</v>
      </c>
      <c r="AG50" s="3">
        <f t="shared" si="12"/>
        <v>1</v>
      </c>
      <c r="AH50" s="3">
        <f t="shared" si="29"/>
        <v>0.95</v>
      </c>
      <c r="AI50" s="3">
        <f t="shared" si="30"/>
        <v>0.90249999999999997</v>
      </c>
      <c r="AJ50" s="3">
        <f t="shared" si="31"/>
        <v>0.85737499999999989</v>
      </c>
      <c r="AK50" s="3">
        <f t="shared" si="32"/>
        <v>0.81450624999999988</v>
      </c>
      <c r="AL50" s="3">
        <f t="shared" si="33"/>
        <v>0</v>
      </c>
      <c r="AM50" s="3">
        <f t="shared" si="34"/>
        <v>3.1241405351562488</v>
      </c>
      <c r="AN50" s="3">
        <f t="shared" si="35"/>
        <v>0</v>
      </c>
      <c r="AO50" s="3">
        <f t="shared" si="36"/>
        <v>0</v>
      </c>
    </row>
    <row r="51" spans="1:41">
      <c r="A51">
        <f t="shared" si="38"/>
        <v>7</v>
      </c>
      <c r="B51">
        <f t="shared" si="2"/>
        <v>454</v>
      </c>
      <c r="C51">
        <f t="shared" si="3"/>
        <v>0</v>
      </c>
      <c r="D51">
        <f t="shared" si="4"/>
        <v>170</v>
      </c>
      <c r="E51">
        <f t="shared" si="5"/>
        <v>8</v>
      </c>
      <c r="F51">
        <f t="shared" si="14"/>
        <v>21.25</v>
      </c>
      <c r="G51">
        <f t="shared" si="6"/>
        <v>1</v>
      </c>
      <c r="H51">
        <f t="shared" si="0"/>
        <v>1</v>
      </c>
      <c r="I51">
        <f t="shared" si="1"/>
        <v>0.5</v>
      </c>
      <c r="J51">
        <f t="shared" si="15"/>
        <v>85.150641435351531</v>
      </c>
      <c r="K51">
        <f t="shared" si="16"/>
        <v>279.15064143535153</v>
      </c>
      <c r="L51">
        <f t="shared" si="17"/>
        <v>5402047.5</v>
      </c>
      <c r="M51">
        <f t="shared" si="7"/>
        <v>213</v>
      </c>
      <c r="N51">
        <f t="shared" si="8"/>
        <v>194</v>
      </c>
      <c r="O51" s="3">
        <f t="shared" si="9"/>
        <v>42.1</v>
      </c>
      <c r="P51" s="3">
        <f t="shared" si="18"/>
        <v>39.994999999999997</v>
      </c>
      <c r="Q51" s="3">
        <f t="shared" si="18"/>
        <v>37.995249999999999</v>
      </c>
      <c r="R51" s="3">
        <f t="shared" si="18"/>
        <v>36.095487499999997</v>
      </c>
      <c r="S51" s="3">
        <f t="shared" si="18"/>
        <v>34.290713124999996</v>
      </c>
      <c r="T51" s="3">
        <f t="shared" si="19"/>
        <v>32.576177468749997</v>
      </c>
      <c r="U51" s="3">
        <f t="shared" si="10"/>
        <v>29.477184814062493</v>
      </c>
      <c r="V51" s="3">
        <f t="shared" si="10"/>
        <v>0</v>
      </c>
      <c r="W51" s="3">
        <f t="shared" si="10"/>
        <v>0</v>
      </c>
      <c r="X51" s="3">
        <f t="shared" si="20"/>
        <v>0</v>
      </c>
      <c r="Y51" s="3">
        <f t="shared" si="21"/>
        <v>0</v>
      </c>
      <c r="Z51" s="3">
        <f t="shared" si="22"/>
        <v>0</v>
      </c>
      <c r="AA51" s="3">
        <f t="shared" si="23"/>
        <v>0</v>
      </c>
      <c r="AB51" s="3">
        <f t="shared" si="24"/>
        <v>0</v>
      </c>
      <c r="AC51" s="3">
        <f t="shared" si="25"/>
        <v>0</v>
      </c>
      <c r="AD51" s="3">
        <f t="shared" si="26"/>
        <v>0</v>
      </c>
      <c r="AE51" s="3">
        <f t="shared" si="27"/>
        <v>0</v>
      </c>
      <c r="AF51" s="3">
        <f t="shared" si="28"/>
        <v>0</v>
      </c>
      <c r="AG51" s="3">
        <f t="shared" si="12"/>
        <v>1</v>
      </c>
      <c r="AH51" s="3">
        <f t="shared" si="29"/>
        <v>0.95</v>
      </c>
      <c r="AI51" s="3">
        <f t="shared" si="30"/>
        <v>0.90249999999999997</v>
      </c>
      <c r="AJ51" s="3">
        <f t="shared" si="31"/>
        <v>0.85737499999999989</v>
      </c>
      <c r="AK51" s="3">
        <f t="shared" si="32"/>
        <v>0.81450624999999988</v>
      </c>
      <c r="AL51" s="3">
        <f t="shared" si="33"/>
        <v>0.77378093749999988</v>
      </c>
      <c r="AM51" s="3">
        <f t="shared" si="34"/>
        <v>0</v>
      </c>
      <c r="AN51" s="3">
        <f t="shared" si="35"/>
        <v>2.9679335083984362</v>
      </c>
      <c r="AO51" s="3">
        <f t="shared" si="36"/>
        <v>0</v>
      </c>
    </row>
    <row r="52" spans="1:41">
      <c r="A52">
        <f t="shared" si="38"/>
        <v>8</v>
      </c>
      <c r="B52">
        <f t="shared" si="2"/>
        <v>484</v>
      </c>
      <c r="C52">
        <f t="shared" si="3"/>
        <v>0</v>
      </c>
      <c r="D52">
        <f t="shared" si="4"/>
        <v>199</v>
      </c>
      <c r="E52">
        <f t="shared" si="5"/>
        <v>8</v>
      </c>
      <c r="F52">
        <f t="shared" si="14"/>
        <v>24.875</v>
      </c>
      <c r="G52">
        <f t="shared" si="6"/>
        <v>0.5</v>
      </c>
      <c r="H52">
        <f t="shared" si="0"/>
        <v>1</v>
      </c>
      <c r="I52">
        <f t="shared" si="1"/>
        <v>0.5</v>
      </c>
      <c r="J52">
        <f t="shared" si="15"/>
        <v>13.039795430185617</v>
      </c>
      <c r="K52">
        <f t="shared" si="16"/>
        <v>207.03979543018562</v>
      </c>
      <c r="L52">
        <f t="shared" si="17"/>
        <v>6323573.25</v>
      </c>
      <c r="M52">
        <f t="shared" si="7"/>
        <v>170</v>
      </c>
      <c r="N52">
        <f t="shared" si="8"/>
        <v>194</v>
      </c>
      <c r="O52" s="3">
        <f t="shared" si="9"/>
        <v>42.1</v>
      </c>
      <c r="P52" s="3">
        <f t="shared" si="18"/>
        <v>39.994999999999997</v>
      </c>
      <c r="Q52" s="3">
        <f t="shared" si="18"/>
        <v>37.995249999999999</v>
      </c>
      <c r="R52" s="3">
        <f t="shared" si="18"/>
        <v>36.095487499999997</v>
      </c>
      <c r="S52" s="3">
        <f t="shared" si="18"/>
        <v>34.290713124999996</v>
      </c>
      <c r="T52" s="3">
        <f t="shared" si="19"/>
        <v>32.576177468749997</v>
      </c>
      <c r="U52" s="3">
        <f t="shared" si="10"/>
        <v>30.947368595312494</v>
      </c>
      <c r="V52" s="3">
        <f t="shared" si="10"/>
        <v>28.003325573359366</v>
      </c>
      <c r="W52" s="3">
        <f t="shared" si="10"/>
        <v>0</v>
      </c>
      <c r="X52" s="3">
        <f t="shared" si="20"/>
        <v>0</v>
      </c>
      <c r="Y52" s="3">
        <f t="shared" si="21"/>
        <v>0</v>
      </c>
      <c r="Z52" s="3">
        <f t="shared" si="22"/>
        <v>0</v>
      </c>
      <c r="AA52" s="3">
        <f t="shared" si="23"/>
        <v>0</v>
      </c>
      <c r="AB52" s="3">
        <f t="shared" si="24"/>
        <v>0</v>
      </c>
      <c r="AC52" s="3">
        <f t="shared" si="25"/>
        <v>0</v>
      </c>
      <c r="AD52" s="3">
        <f t="shared" si="26"/>
        <v>0</v>
      </c>
      <c r="AE52" s="3">
        <f t="shared" si="27"/>
        <v>0</v>
      </c>
      <c r="AF52" s="3">
        <f t="shared" si="28"/>
        <v>0</v>
      </c>
      <c r="AG52" s="3">
        <f t="shared" si="12"/>
        <v>1</v>
      </c>
      <c r="AH52" s="3">
        <f t="shared" si="29"/>
        <v>0.95</v>
      </c>
      <c r="AI52" s="3">
        <f t="shared" si="30"/>
        <v>0.90249999999999997</v>
      </c>
      <c r="AJ52" s="3">
        <f t="shared" si="31"/>
        <v>0.85737499999999989</v>
      </c>
      <c r="AK52" s="3">
        <f t="shared" si="32"/>
        <v>0.81450624999999988</v>
      </c>
      <c r="AL52" s="3">
        <f t="shared" si="33"/>
        <v>0.77378093749999988</v>
      </c>
      <c r="AM52" s="3">
        <f t="shared" si="34"/>
        <v>0.7350918906249998</v>
      </c>
      <c r="AN52" s="3">
        <f t="shared" si="35"/>
        <v>0</v>
      </c>
      <c r="AO52" s="3">
        <f t="shared" si="36"/>
        <v>2.8195368329785144</v>
      </c>
    </row>
    <row r="53" spans="1:41">
      <c r="A53">
        <f t="shared" si="38"/>
        <v>9</v>
      </c>
      <c r="B53">
        <f t="shared" si="2"/>
        <v>441</v>
      </c>
      <c r="C53">
        <f t="shared" si="3"/>
        <v>0</v>
      </c>
      <c r="D53">
        <f t="shared" si="4"/>
        <v>227</v>
      </c>
      <c r="E53">
        <f t="shared" si="5"/>
        <v>4</v>
      </c>
      <c r="F53">
        <f t="shared" si="14"/>
        <v>56.75</v>
      </c>
      <c r="G53">
        <f t="shared" si="6"/>
        <v>0.5</v>
      </c>
      <c r="H53">
        <f t="shared" si="0"/>
        <v>1</v>
      </c>
      <c r="I53">
        <f t="shared" si="1"/>
        <v>0.5</v>
      </c>
      <c r="J53">
        <f t="shared" si="15"/>
        <v>19.612161337115214</v>
      </c>
      <c r="K53">
        <f t="shared" si="16"/>
        <v>146.51216133711523</v>
      </c>
      <c r="L53">
        <f t="shared" si="17"/>
        <v>7213322.25</v>
      </c>
      <c r="M53">
        <f t="shared" si="7"/>
        <v>199</v>
      </c>
      <c r="N53">
        <f t="shared" si="8"/>
        <v>126.9</v>
      </c>
      <c r="O53" s="3">
        <f t="shared" si="9"/>
        <v>42.1</v>
      </c>
      <c r="P53" s="3">
        <f t="shared" si="18"/>
        <v>39.994999999999997</v>
      </c>
      <c r="Q53" s="3">
        <f t="shared" si="18"/>
        <v>37.995249999999999</v>
      </c>
      <c r="R53" s="3">
        <f t="shared" si="18"/>
        <v>36.095487499999997</v>
      </c>
      <c r="S53" s="3">
        <f t="shared" si="18"/>
        <v>34.290713124999996</v>
      </c>
      <c r="T53" s="3">
        <f t="shared" si="19"/>
        <v>32.576177468749997</v>
      </c>
      <c r="U53" s="3">
        <f t="shared" si="10"/>
        <v>30.947368595312494</v>
      </c>
      <c r="V53" s="3">
        <f t="shared" si="10"/>
        <v>29.400000165546867</v>
      </c>
      <c r="W53" s="3">
        <f t="shared" si="10"/>
        <v>26.603159294691395</v>
      </c>
      <c r="X53" s="3">
        <f t="shared" si="20"/>
        <v>0</v>
      </c>
      <c r="Y53" s="3">
        <f t="shared" si="21"/>
        <v>0</v>
      </c>
      <c r="Z53" s="3">
        <f t="shared" si="22"/>
        <v>0</v>
      </c>
      <c r="AA53" s="3">
        <f t="shared" si="23"/>
        <v>0</v>
      </c>
      <c r="AB53" s="3">
        <f t="shared" si="24"/>
        <v>0</v>
      </c>
      <c r="AC53" s="3">
        <f t="shared" si="25"/>
        <v>0</v>
      </c>
      <c r="AD53" s="3">
        <f t="shared" si="26"/>
        <v>0</v>
      </c>
      <c r="AE53" s="3">
        <f t="shared" si="27"/>
        <v>0</v>
      </c>
      <c r="AF53" s="3">
        <f t="shared" si="28"/>
        <v>0</v>
      </c>
      <c r="AG53" s="3">
        <f t="shared" si="12"/>
        <v>1</v>
      </c>
      <c r="AH53" s="3">
        <f t="shared" si="29"/>
        <v>0.95</v>
      </c>
      <c r="AI53" s="3">
        <f t="shared" si="30"/>
        <v>0.45124999999999998</v>
      </c>
      <c r="AJ53" s="3">
        <f t="shared" si="31"/>
        <v>0.42868749999999994</v>
      </c>
      <c r="AK53" s="3">
        <f t="shared" si="32"/>
        <v>0.40725312499999994</v>
      </c>
      <c r="AL53" s="3">
        <f t="shared" si="33"/>
        <v>0.38689046874999994</v>
      </c>
      <c r="AM53" s="3">
        <f t="shared" si="34"/>
        <v>0.3675459453124999</v>
      </c>
      <c r="AN53" s="3">
        <f t="shared" si="35"/>
        <v>0.34916864804687486</v>
      </c>
      <c r="AO53" s="3">
        <f t="shared" si="36"/>
        <v>0</v>
      </c>
    </row>
    <row r="54" spans="1:41">
      <c r="A54">
        <f t="shared" si="38"/>
        <v>10</v>
      </c>
      <c r="B54">
        <f t="shared" si="2"/>
        <v>508</v>
      </c>
      <c r="C54">
        <f t="shared" si="3"/>
        <v>0</v>
      </c>
      <c r="D54">
        <f t="shared" si="4"/>
        <v>229</v>
      </c>
      <c r="E54">
        <f t="shared" si="5"/>
        <v>3</v>
      </c>
      <c r="F54">
        <f t="shared" si="14"/>
        <v>76.333333333333329</v>
      </c>
      <c r="G54">
        <f t="shared" si="6"/>
        <v>1</v>
      </c>
      <c r="H54">
        <f t="shared" si="0"/>
        <v>1</v>
      </c>
      <c r="I54">
        <f t="shared" si="1"/>
        <v>0.5</v>
      </c>
      <c r="J54">
        <f t="shared" si="15"/>
        <v>42.577076873154326</v>
      </c>
      <c r="K54">
        <f t="shared" si="16"/>
        <v>236.57707687315434</v>
      </c>
      <c r="L54">
        <f t="shared" si="17"/>
        <v>7276875.75</v>
      </c>
      <c r="M54">
        <f t="shared" si="7"/>
        <v>227</v>
      </c>
      <c r="N54">
        <f t="shared" si="8"/>
        <v>194</v>
      </c>
      <c r="O54" s="3">
        <f t="shared" si="9"/>
        <v>42.1</v>
      </c>
      <c r="P54" s="3">
        <f t="shared" si="18"/>
        <v>39.994999999999997</v>
      </c>
      <c r="Q54" s="3">
        <f t="shared" si="18"/>
        <v>37.995249999999999</v>
      </c>
      <c r="R54" s="3">
        <f t="shared" si="18"/>
        <v>36.095487499999997</v>
      </c>
      <c r="S54" s="3">
        <f t="shared" si="18"/>
        <v>34.290713124999996</v>
      </c>
      <c r="T54" s="3">
        <f t="shared" si="19"/>
        <v>32.576177468749997</v>
      </c>
      <c r="U54" s="3">
        <f t="shared" si="10"/>
        <v>30.947368595312494</v>
      </c>
      <c r="V54" s="3">
        <f t="shared" si="10"/>
        <v>29.400000165546867</v>
      </c>
      <c r="W54" s="3">
        <f t="shared" si="10"/>
        <v>27.930000157269522</v>
      </c>
      <c r="X54" s="3">
        <f t="shared" si="20"/>
        <v>0</v>
      </c>
      <c r="Y54" s="3">
        <f t="shared" si="21"/>
        <v>0</v>
      </c>
      <c r="Z54" s="3">
        <f t="shared" si="22"/>
        <v>0</v>
      </c>
      <c r="AA54" s="3">
        <f t="shared" si="23"/>
        <v>0</v>
      </c>
      <c r="AB54" s="3">
        <f t="shared" si="24"/>
        <v>0</v>
      </c>
      <c r="AC54" s="3">
        <f t="shared" si="25"/>
        <v>0</v>
      </c>
      <c r="AD54" s="3">
        <f t="shared" si="26"/>
        <v>0</v>
      </c>
      <c r="AE54" s="3">
        <f t="shared" si="27"/>
        <v>0</v>
      </c>
      <c r="AF54" s="3">
        <f t="shared" si="28"/>
        <v>0</v>
      </c>
      <c r="AG54" s="3">
        <f t="shared" si="12"/>
        <v>1</v>
      </c>
      <c r="AH54" s="3">
        <f t="shared" si="29"/>
        <v>0.95</v>
      </c>
      <c r="AI54" s="3">
        <f t="shared" si="30"/>
        <v>0.45124999999999998</v>
      </c>
      <c r="AJ54" s="3">
        <f t="shared" si="31"/>
        <v>0.21434374999999997</v>
      </c>
      <c r="AK54" s="3">
        <f t="shared" si="32"/>
        <v>0.20362656249999997</v>
      </c>
      <c r="AL54" s="3">
        <f t="shared" si="33"/>
        <v>0.19344523437499997</v>
      </c>
      <c r="AM54" s="3">
        <f t="shared" si="34"/>
        <v>0.18377297265624995</v>
      </c>
      <c r="AN54" s="3">
        <f t="shared" si="35"/>
        <v>0.17458432402343743</v>
      </c>
      <c r="AO54" s="3">
        <f t="shared" si="36"/>
        <v>0.16585510782226556</v>
      </c>
    </row>
    <row r="55" spans="1:41">
      <c r="A55">
        <f t="shared" si="38"/>
        <v>11</v>
      </c>
      <c r="B55">
        <f t="shared" si="2"/>
        <v>509</v>
      </c>
      <c r="C55">
        <f t="shared" si="3"/>
        <v>0</v>
      </c>
      <c r="D55">
        <f t="shared" si="4"/>
        <v>229</v>
      </c>
      <c r="E55">
        <f t="shared" si="5"/>
        <v>4</v>
      </c>
      <c r="F55">
        <f t="shared" si="14"/>
        <v>57.25</v>
      </c>
      <c r="G55">
        <f t="shared" si="6"/>
        <v>1</v>
      </c>
      <c r="H55">
        <f t="shared" si="0"/>
        <v>1</v>
      </c>
      <c r="I55">
        <f t="shared" si="1"/>
        <v>0.5</v>
      </c>
      <c r="J55">
        <f t="shared" si="15"/>
        <v>42.434406250000066</v>
      </c>
      <c r="K55">
        <f t="shared" si="16"/>
        <v>236.43440625000005</v>
      </c>
      <c r="L55">
        <f t="shared" si="17"/>
        <v>7276875.75</v>
      </c>
      <c r="M55">
        <f t="shared" si="7"/>
        <v>229</v>
      </c>
      <c r="N55">
        <f t="shared" si="8"/>
        <v>194</v>
      </c>
      <c r="O55" s="3">
        <f t="shared" si="9"/>
        <v>42.1</v>
      </c>
      <c r="P55" s="3">
        <f t="shared" si="18"/>
        <v>39.994999999999997</v>
      </c>
      <c r="Q55" s="3">
        <f t="shared" si="18"/>
        <v>37.995249999999999</v>
      </c>
      <c r="R55" s="3">
        <f t="shared" si="18"/>
        <v>36.095487499999997</v>
      </c>
      <c r="S55" s="3">
        <f t="shared" si="18"/>
        <v>34.290713124999996</v>
      </c>
      <c r="T55" s="3">
        <f t="shared" si="19"/>
        <v>32.576177468749997</v>
      </c>
      <c r="U55" s="3">
        <f t="shared" si="10"/>
        <v>30.947368595312494</v>
      </c>
      <c r="V55" s="3">
        <f t="shared" si="10"/>
        <v>29.400000165546867</v>
      </c>
      <c r="W55" s="3">
        <f t="shared" si="10"/>
        <v>27.930000157269522</v>
      </c>
      <c r="X55" s="3">
        <f t="shared" si="20"/>
        <v>0</v>
      </c>
      <c r="Y55" s="3">
        <f t="shared" si="21"/>
        <v>0</v>
      </c>
      <c r="Z55" s="3">
        <f t="shared" si="22"/>
        <v>0</v>
      </c>
      <c r="AA55" s="3">
        <f t="shared" si="23"/>
        <v>0</v>
      </c>
      <c r="AB55" s="3">
        <f t="shared" si="24"/>
        <v>0</v>
      </c>
      <c r="AC55" s="3">
        <f t="shared" si="25"/>
        <v>0</v>
      </c>
      <c r="AD55" s="3">
        <f t="shared" si="26"/>
        <v>0</v>
      </c>
      <c r="AE55" s="3">
        <f t="shared" si="27"/>
        <v>0</v>
      </c>
      <c r="AF55" s="3">
        <f t="shared" si="28"/>
        <v>0</v>
      </c>
      <c r="AG55" s="3">
        <f t="shared" si="12"/>
        <v>1</v>
      </c>
      <c r="AH55" s="3">
        <f t="shared" si="29"/>
        <v>0.95</v>
      </c>
      <c r="AI55" s="3">
        <f t="shared" si="30"/>
        <v>0.90249999999999997</v>
      </c>
      <c r="AJ55" s="3">
        <f t="shared" si="31"/>
        <v>0.42868749999999994</v>
      </c>
      <c r="AK55" s="3">
        <f t="shared" si="32"/>
        <v>0.20362656249999997</v>
      </c>
      <c r="AL55" s="3">
        <f t="shared" si="33"/>
        <v>0.19344523437499997</v>
      </c>
      <c r="AM55" s="3">
        <f t="shared" si="34"/>
        <v>0.18377297265624995</v>
      </c>
      <c r="AN55" s="3">
        <f t="shared" si="35"/>
        <v>0.17458432402343743</v>
      </c>
      <c r="AO55" s="3">
        <f t="shared" si="36"/>
        <v>0.16585510782226556</v>
      </c>
    </row>
    <row r="56" spans="1:41">
      <c r="A56">
        <f t="shared" si="38"/>
        <v>12</v>
      </c>
      <c r="B56">
        <f t="shared" si="2"/>
        <v>510</v>
      </c>
      <c r="C56">
        <f t="shared" si="3"/>
        <v>0</v>
      </c>
      <c r="D56">
        <f t="shared" si="4"/>
        <v>229</v>
      </c>
      <c r="E56">
        <f t="shared" si="5"/>
        <v>4</v>
      </c>
      <c r="F56">
        <f t="shared" si="14"/>
        <v>57.25</v>
      </c>
      <c r="G56">
        <f t="shared" si="6"/>
        <v>1</v>
      </c>
      <c r="H56">
        <f t="shared" si="0"/>
        <v>1</v>
      </c>
      <c r="I56">
        <f t="shared" si="1"/>
        <v>0.5</v>
      </c>
      <c r="J56">
        <f t="shared" si="15"/>
        <v>42.467685937500036</v>
      </c>
      <c r="K56">
        <f t="shared" si="16"/>
        <v>236.46768593750005</v>
      </c>
      <c r="L56">
        <f t="shared" si="17"/>
        <v>7276875.75</v>
      </c>
      <c r="M56">
        <f t="shared" si="7"/>
        <v>229</v>
      </c>
      <c r="N56">
        <f t="shared" si="8"/>
        <v>194</v>
      </c>
      <c r="O56" s="3">
        <f t="shared" si="9"/>
        <v>42.1</v>
      </c>
      <c r="P56" s="3">
        <f t="shared" si="18"/>
        <v>39.994999999999997</v>
      </c>
      <c r="Q56" s="3">
        <f t="shared" si="18"/>
        <v>37.995249999999999</v>
      </c>
      <c r="R56" s="3">
        <f t="shared" si="18"/>
        <v>36.095487499999997</v>
      </c>
      <c r="S56" s="3">
        <f t="shared" si="18"/>
        <v>34.290713124999996</v>
      </c>
      <c r="T56" s="3">
        <f t="shared" si="19"/>
        <v>32.576177468749997</v>
      </c>
      <c r="U56" s="3">
        <f t="shared" si="10"/>
        <v>30.947368595312494</v>
      </c>
      <c r="V56" s="3">
        <f t="shared" si="10"/>
        <v>29.400000165546867</v>
      </c>
      <c r="W56" s="3">
        <f t="shared" si="10"/>
        <v>27.930000157269522</v>
      </c>
      <c r="X56" s="3">
        <f t="shared" si="20"/>
        <v>0</v>
      </c>
      <c r="Y56" s="3">
        <f t="shared" si="21"/>
        <v>0</v>
      </c>
      <c r="Z56" s="3">
        <f t="shared" si="22"/>
        <v>0</v>
      </c>
      <c r="AA56" s="3">
        <f t="shared" si="23"/>
        <v>0</v>
      </c>
      <c r="AB56" s="3">
        <f t="shared" si="24"/>
        <v>0</v>
      </c>
      <c r="AC56" s="3">
        <f t="shared" si="25"/>
        <v>0</v>
      </c>
      <c r="AD56" s="3">
        <f t="shared" si="26"/>
        <v>0</v>
      </c>
      <c r="AE56" s="3">
        <f t="shared" si="27"/>
        <v>0</v>
      </c>
      <c r="AF56" s="3">
        <f t="shared" si="28"/>
        <v>0</v>
      </c>
      <c r="AG56" s="3">
        <f t="shared" si="12"/>
        <v>1</v>
      </c>
      <c r="AH56" s="3">
        <f t="shared" si="29"/>
        <v>0.95</v>
      </c>
      <c r="AI56" s="3">
        <f t="shared" si="30"/>
        <v>0.90249999999999997</v>
      </c>
      <c r="AJ56" s="3">
        <f t="shared" si="31"/>
        <v>0.85737499999999989</v>
      </c>
      <c r="AK56" s="3">
        <f t="shared" si="32"/>
        <v>0.40725312499999994</v>
      </c>
      <c r="AL56" s="3">
        <f t="shared" si="33"/>
        <v>0.19344523437499997</v>
      </c>
      <c r="AM56" s="3">
        <f t="shared" si="34"/>
        <v>0.18377297265624995</v>
      </c>
      <c r="AN56" s="3">
        <f t="shared" si="35"/>
        <v>0.17458432402343743</v>
      </c>
      <c r="AO56" s="3">
        <f t="shared" si="36"/>
        <v>0.16585510782226556</v>
      </c>
    </row>
    <row r="57" spans="1:41">
      <c r="A57">
        <f t="shared" si="38"/>
        <v>13</v>
      </c>
      <c r="B57">
        <f t="shared" si="2"/>
        <v>510</v>
      </c>
      <c r="C57">
        <f t="shared" si="3"/>
        <v>0</v>
      </c>
      <c r="D57">
        <f t="shared" si="4"/>
        <v>229</v>
      </c>
      <c r="E57">
        <f t="shared" si="5"/>
        <v>5</v>
      </c>
      <c r="F57">
        <f t="shared" si="14"/>
        <v>45.8</v>
      </c>
      <c r="G57">
        <f t="shared" si="6"/>
        <v>1</v>
      </c>
      <c r="H57">
        <f t="shared" si="0"/>
        <v>1</v>
      </c>
      <c r="I57">
        <f t="shared" si="1"/>
        <v>0.5</v>
      </c>
      <c r="J57">
        <f t="shared" si="15"/>
        <v>42.499301640625006</v>
      </c>
      <c r="K57">
        <f t="shared" si="16"/>
        <v>236.49930164062499</v>
      </c>
      <c r="L57">
        <f t="shared" si="17"/>
        <v>7276875.75</v>
      </c>
      <c r="M57">
        <f t="shared" si="7"/>
        <v>229</v>
      </c>
      <c r="N57">
        <f t="shared" si="8"/>
        <v>194</v>
      </c>
      <c r="O57" s="3">
        <f t="shared" si="9"/>
        <v>42.1</v>
      </c>
      <c r="P57" s="3">
        <f t="shared" si="18"/>
        <v>39.994999999999997</v>
      </c>
      <c r="Q57" s="3">
        <f t="shared" si="18"/>
        <v>37.995249999999999</v>
      </c>
      <c r="R57" s="3">
        <f t="shared" si="18"/>
        <v>36.095487499999997</v>
      </c>
      <c r="S57" s="3">
        <f t="shared" si="18"/>
        <v>34.290713124999996</v>
      </c>
      <c r="T57" s="3">
        <f t="shared" si="19"/>
        <v>32.576177468749997</v>
      </c>
      <c r="U57" s="3">
        <f t="shared" si="10"/>
        <v>30.947368595312494</v>
      </c>
      <c r="V57" s="3">
        <f t="shared" si="10"/>
        <v>29.400000165546867</v>
      </c>
      <c r="W57" s="3">
        <f t="shared" si="10"/>
        <v>27.930000157269522</v>
      </c>
      <c r="X57" s="3">
        <f t="shared" si="20"/>
        <v>0</v>
      </c>
      <c r="Y57" s="3">
        <f t="shared" si="21"/>
        <v>0</v>
      </c>
      <c r="Z57" s="3">
        <f t="shared" si="22"/>
        <v>0</v>
      </c>
      <c r="AA57" s="3">
        <f t="shared" si="23"/>
        <v>0</v>
      </c>
      <c r="AB57" s="3">
        <f t="shared" si="24"/>
        <v>0</v>
      </c>
      <c r="AC57" s="3">
        <f t="shared" si="25"/>
        <v>0</v>
      </c>
      <c r="AD57" s="3">
        <f t="shared" si="26"/>
        <v>0</v>
      </c>
      <c r="AE57" s="3">
        <f t="shared" si="27"/>
        <v>0</v>
      </c>
      <c r="AF57" s="3">
        <f t="shared" si="28"/>
        <v>0</v>
      </c>
      <c r="AG57" s="3">
        <f t="shared" si="12"/>
        <v>1</v>
      </c>
      <c r="AH57" s="3">
        <f t="shared" si="29"/>
        <v>0.95</v>
      </c>
      <c r="AI57" s="3">
        <f t="shared" si="30"/>
        <v>0.90249999999999997</v>
      </c>
      <c r="AJ57" s="3">
        <f t="shared" si="31"/>
        <v>0.85737499999999989</v>
      </c>
      <c r="AK57" s="3">
        <f t="shared" si="32"/>
        <v>0.81450624999999988</v>
      </c>
      <c r="AL57" s="3">
        <f t="shared" si="33"/>
        <v>0.38689046874999994</v>
      </c>
      <c r="AM57" s="3">
        <f t="shared" si="34"/>
        <v>0.18377297265624995</v>
      </c>
      <c r="AN57" s="3">
        <f t="shared" si="35"/>
        <v>0.17458432402343743</v>
      </c>
      <c r="AO57" s="3">
        <f t="shared" si="36"/>
        <v>0.16585510782226556</v>
      </c>
    </row>
    <row r="58" spans="1:41">
      <c r="A58">
        <f t="shared" si="38"/>
        <v>14</v>
      </c>
      <c r="B58">
        <f t="shared" si="2"/>
        <v>511</v>
      </c>
      <c r="C58">
        <f t="shared" si="3"/>
        <v>0</v>
      </c>
      <c r="D58">
        <f t="shared" si="4"/>
        <v>229</v>
      </c>
      <c r="E58">
        <f t="shared" si="5"/>
        <v>6</v>
      </c>
      <c r="F58">
        <f t="shared" si="14"/>
        <v>38.166666666666664</v>
      </c>
      <c r="G58">
        <f t="shared" si="6"/>
        <v>1</v>
      </c>
      <c r="H58">
        <f t="shared" si="0"/>
        <v>1</v>
      </c>
      <c r="I58">
        <f t="shared" si="1"/>
        <v>0.5</v>
      </c>
      <c r="J58">
        <f t="shared" si="15"/>
        <v>42.529336558593727</v>
      </c>
      <c r="K58">
        <f t="shared" si="16"/>
        <v>236.52933655859374</v>
      </c>
      <c r="L58">
        <f t="shared" si="17"/>
        <v>7276875.75</v>
      </c>
      <c r="M58">
        <f t="shared" si="7"/>
        <v>229</v>
      </c>
      <c r="N58">
        <f t="shared" si="8"/>
        <v>194</v>
      </c>
      <c r="O58" s="3">
        <f t="shared" si="9"/>
        <v>42.1</v>
      </c>
      <c r="P58" s="3">
        <f t="shared" si="18"/>
        <v>39.994999999999997</v>
      </c>
      <c r="Q58" s="3">
        <f t="shared" si="18"/>
        <v>37.995249999999999</v>
      </c>
      <c r="R58" s="3">
        <f t="shared" si="18"/>
        <v>36.095487499999997</v>
      </c>
      <c r="S58" s="3">
        <f t="shared" si="18"/>
        <v>34.290713124999996</v>
      </c>
      <c r="T58" s="3">
        <f t="shared" si="19"/>
        <v>32.576177468749997</v>
      </c>
      <c r="U58" s="3">
        <f t="shared" si="10"/>
        <v>30.947368595312494</v>
      </c>
      <c r="V58" s="3">
        <f t="shared" si="10"/>
        <v>29.400000165546867</v>
      </c>
      <c r="W58" s="3">
        <f t="shared" si="10"/>
        <v>27.930000157269522</v>
      </c>
      <c r="X58" s="3">
        <f t="shared" si="20"/>
        <v>0</v>
      </c>
      <c r="Y58" s="3">
        <f t="shared" si="21"/>
        <v>0</v>
      </c>
      <c r="Z58" s="3">
        <f t="shared" si="22"/>
        <v>0</v>
      </c>
      <c r="AA58" s="3">
        <f t="shared" si="23"/>
        <v>0</v>
      </c>
      <c r="AB58" s="3">
        <f t="shared" si="24"/>
        <v>0</v>
      </c>
      <c r="AC58" s="3">
        <f t="shared" si="25"/>
        <v>0</v>
      </c>
      <c r="AD58" s="3">
        <f t="shared" si="26"/>
        <v>0</v>
      </c>
      <c r="AE58" s="3">
        <f t="shared" si="27"/>
        <v>0</v>
      </c>
      <c r="AF58" s="3">
        <f t="shared" si="28"/>
        <v>0</v>
      </c>
      <c r="AG58" s="3">
        <f t="shared" si="12"/>
        <v>1</v>
      </c>
      <c r="AH58" s="3">
        <f t="shared" si="29"/>
        <v>0.95</v>
      </c>
      <c r="AI58" s="3">
        <f t="shared" si="30"/>
        <v>0.90249999999999997</v>
      </c>
      <c r="AJ58" s="3">
        <f t="shared" si="31"/>
        <v>0.85737499999999989</v>
      </c>
      <c r="AK58" s="3">
        <f t="shared" si="32"/>
        <v>0.81450624999999988</v>
      </c>
      <c r="AL58" s="3">
        <f t="shared" si="33"/>
        <v>0.77378093749999988</v>
      </c>
      <c r="AM58" s="3">
        <f t="shared" si="34"/>
        <v>0.3675459453124999</v>
      </c>
      <c r="AN58" s="3">
        <f t="shared" si="35"/>
        <v>0.17458432402343743</v>
      </c>
      <c r="AO58" s="3">
        <f t="shared" si="36"/>
        <v>0.16585510782226556</v>
      </c>
    </row>
    <row r="59" spans="1:41">
      <c r="A59">
        <f t="shared" ref="A59:A71" si="39">A58+1</f>
        <v>15</v>
      </c>
      <c r="B59">
        <f t="shared" si="2"/>
        <v>511</v>
      </c>
      <c r="C59">
        <f t="shared" si="3"/>
        <v>0</v>
      </c>
      <c r="D59">
        <f t="shared" si="4"/>
        <v>229</v>
      </c>
      <c r="E59">
        <f t="shared" si="5"/>
        <v>6</v>
      </c>
      <c r="F59">
        <f t="shared" si="14"/>
        <v>38.166666666666664</v>
      </c>
      <c r="G59">
        <f t="shared" si="6"/>
        <v>1</v>
      </c>
      <c r="H59">
        <f t="shared" si="0"/>
        <v>1</v>
      </c>
      <c r="I59">
        <f t="shared" si="1"/>
        <v>0.5</v>
      </c>
      <c r="J59">
        <f t="shared" si="15"/>
        <v>42.557869730664073</v>
      </c>
      <c r="K59">
        <f t="shared" si="16"/>
        <v>236.55786973066407</v>
      </c>
      <c r="L59">
        <f t="shared" si="17"/>
        <v>7276875.75</v>
      </c>
      <c r="M59">
        <f t="shared" si="7"/>
        <v>229</v>
      </c>
      <c r="N59">
        <f t="shared" si="8"/>
        <v>194</v>
      </c>
      <c r="O59" s="3">
        <f t="shared" si="9"/>
        <v>42.1</v>
      </c>
      <c r="P59" s="3">
        <f t="shared" si="18"/>
        <v>39.994999999999997</v>
      </c>
      <c r="Q59" s="3">
        <f t="shared" si="18"/>
        <v>37.995249999999999</v>
      </c>
      <c r="R59" s="3">
        <f t="shared" si="18"/>
        <v>36.095487499999997</v>
      </c>
      <c r="S59" s="3">
        <f t="shared" si="18"/>
        <v>34.290713124999996</v>
      </c>
      <c r="T59" s="3">
        <f t="shared" si="19"/>
        <v>32.576177468749997</v>
      </c>
      <c r="U59" s="3">
        <f t="shared" si="10"/>
        <v>30.947368595312494</v>
      </c>
      <c r="V59" s="3">
        <f t="shared" si="10"/>
        <v>29.400000165546867</v>
      </c>
      <c r="W59" s="3">
        <f t="shared" si="10"/>
        <v>27.930000157269522</v>
      </c>
      <c r="X59" s="3">
        <f t="shared" si="20"/>
        <v>0</v>
      </c>
      <c r="Y59" s="3">
        <f t="shared" si="21"/>
        <v>0</v>
      </c>
      <c r="Z59" s="3">
        <f t="shared" si="22"/>
        <v>0</v>
      </c>
      <c r="AA59" s="3">
        <f t="shared" si="23"/>
        <v>0</v>
      </c>
      <c r="AB59" s="3">
        <f t="shared" si="24"/>
        <v>0</v>
      </c>
      <c r="AC59" s="3">
        <f t="shared" si="25"/>
        <v>0</v>
      </c>
      <c r="AD59" s="3">
        <f t="shared" si="26"/>
        <v>0</v>
      </c>
      <c r="AE59" s="3">
        <f t="shared" si="27"/>
        <v>0</v>
      </c>
      <c r="AF59" s="3">
        <f t="shared" si="28"/>
        <v>0</v>
      </c>
      <c r="AG59" s="3">
        <f t="shared" si="12"/>
        <v>1</v>
      </c>
      <c r="AH59" s="3">
        <f t="shared" si="29"/>
        <v>0.95</v>
      </c>
      <c r="AI59" s="3">
        <f t="shared" si="30"/>
        <v>0.90249999999999997</v>
      </c>
      <c r="AJ59" s="3">
        <f t="shared" si="31"/>
        <v>0.85737499999999989</v>
      </c>
      <c r="AK59" s="3">
        <f t="shared" si="32"/>
        <v>0.81450624999999988</v>
      </c>
      <c r="AL59" s="3">
        <f t="shared" si="33"/>
        <v>0.77378093749999988</v>
      </c>
      <c r="AM59" s="3">
        <f t="shared" si="34"/>
        <v>0.7350918906249998</v>
      </c>
      <c r="AN59" s="3">
        <f t="shared" si="35"/>
        <v>0.34916864804687486</v>
      </c>
      <c r="AO59" s="3">
        <f t="shared" si="36"/>
        <v>0.16585510782226556</v>
      </c>
    </row>
    <row r="60" spans="1:41">
      <c r="A60">
        <f t="shared" si="39"/>
        <v>16</v>
      </c>
      <c r="B60">
        <f t="shared" si="2"/>
        <v>512</v>
      </c>
      <c r="C60">
        <f t="shared" si="3"/>
        <v>0</v>
      </c>
      <c r="D60">
        <f>FLOOR(SUM(Q60:W60),1)</f>
        <v>229</v>
      </c>
      <c r="E60">
        <f t="shared" si="5"/>
        <v>7</v>
      </c>
      <c r="F60">
        <f t="shared" si="14"/>
        <v>32.714285714285715</v>
      </c>
      <c r="G60">
        <f t="shared" si="6"/>
        <v>1</v>
      </c>
      <c r="H60">
        <f t="shared" si="0"/>
        <v>1</v>
      </c>
      <c r="I60">
        <f t="shared" si="1"/>
        <v>0.5</v>
      </c>
      <c r="J60">
        <f t="shared" si="15"/>
        <v>42.584976244130864</v>
      </c>
      <c r="K60">
        <f t="shared" si="16"/>
        <v>236.58497624413087</v>
      </c>
      <c r="L60">
        <f t="shared" si="17"/>
        <v>7276875.75</v>
      </c>
      <c r="M60">
        <f>IF(D59&gt;($D$21+$D$22),$D$21+$D$22,D59)</f>
        <v>229</v>
      </c>
      <c r="N60">
        <f t="shared" si="8"/>
        <v>194</v>
      </c>
      <c r="O60" s="3">
        <f t="shared" si="9"/>
        <v>42.1</v>
      </c>
      <c r="P60" s="3">
        <f t="shared" si="18"/>
        <v>39.994999999999997</v>
      </c>
      <c r="Q60" s="3">
        <f t="shared" si="18"/>
        <v>37.995249999999999</v>
      </c>
      <c r="R60" s="3">
        <f t="shared" si="18"/>
        <v>36.095487499999997</v>
      </c>
      <c r="S60" s="3">
        <f t="shared" si="18"/>
        <v>34.290713124999996</v>
      </c>
      <c r="T60" s="3">
        <f t="shared" si="19"/>
        <v>32.576177468749997</v>
      </c>
      <c r="U60" s="3">
        <f t="shared" si="10"/>
        <v>30.947368595312494</v>
      </c>
      <c r="V60" s="3">
        <f t="shared" si="10"/>
        <v>29.400000165546867</v>
      </c>
      <c r="W60" s="3">
        <f t="shared" si="10"/>
        <v>27.930000157269522</v>
      </c>
      <c r="X60" s="3">
        <f t="shared" si="20"/>
        <v>0</v>
      </c>
      <c r="Y60" s="3">
        <f t="shared" si="21"/>
        <v>0</v>
      </c>
      <c r="Z60" s="3">
        <f t="shared" si="22"/>
        <v>0</v>
      </c>
      <c r="AA60" s="3">
        <f t="shared" si="23"/>
        <v>0</v>
      </c>
      <c r="AB60" s="3">
        <f t="shared" si="24"/>
        <v>0</v>
      </c>
      <c r="AC60" s="3">
        <f t="shared" si="25"/>
        <v>0</v>
      </c>
      <c r="AD60" s="3">
        <f t="shared" si="26"/>
        <v>0</v>
      </c>
      <c r="AE60" s="3">
        <f t="shared" si="27"/>
        <v>0</v>
      </c>
      <c r="AF60" s="3">
        <f t="shared" si="28"/>
        <v>0</v>
      </c>
      <c r="AG60" s="3">
        <f t="shared" si="12"/>
        <v>1</v>
      </c>
      <c r="AH60" s="3">
        <f t="shared" si="29"/>
        <v>0.95</v>
      </c>
      <c r="AI60" s="3">
        <f t="shared" si="30"/>
        <v>0.90249999999999997</v>
      </c>
      <c r="AJ60" s="3">
        <f t="shared" si="31"/>
        <v>0.85737499999999989</v>
      </c>
      <c r="AK60" s="3">
        <f t="shared" si="32"/>
        <v>0.81450624999999988</v>
      </c>
      <c r="AL60" s="3">
        <f t="shared" si="33"/>
        <v>0.77378093749999988</v>
      </c>
      <c r="AM60" s="3">
        <f t="shared" si="34"/>
        <v>0.7350918906249998</v>
      </c>
      <c r="AN60" s="3">
        <f t="shared" si="35"/>
        <v>0.69833729609374973</v>
      </c>
      <c r="AO60" s="3">
        <f t="shared" si="36"/>
        <v>0.33171021564453113</v>
      </c>
    </row>
    <row r="61" spans="1:41">
      <c r="A61">
        <f t="shared" si="39"/>
        <v>17</v>
      </c>
      <c r="B61">
        <f t="shared" si="2"/>
        <v>512</v>
      </c>
      <c r="C61">
        <f t="shared" si="3"/>
        <v>0</v>
      </c>
      <c r="D61">
        <f t="shared" si="4"/>
        <v>229</v>
      </c>
      <c r="E61">
        <f t="shared" si="5"/>
        <v>7</v>
      </c>
      <c r="F61">
        <f t="shared" si="14"/>
        <v>32.714285714285715</v>
      </c>
      <c r="G61">
        <f t="shared" si="6"/>
        <v>1</v>
      </c>
      <c r="H61">
        <f t="shared" si="0"/>
        <v>1</v>
      </c>
      <c r="I61">
        <f t="shared" si="1"/>
        <v>0.5</v>
      </c>
      <c r="J61">
        <f t="shared" si="15"/>
        <v>42.768289784355481</v>
      </c>
      <c r="K61">
        <f t="shared" si="16"/>
        <v>236.76828978435549</v>
      </c>
      <c r="L61">
        <f t="shared" si="17"/>
        <v>7276875.75</v>
      </c>
      <c r="M61">
        <f t="shared" si="7"/>
        <v>229</v>
      </c>
      <c r="N61">
        <f t="shared" si="8"/>
        <v>194</v>
      </c>
      <c r="O61" s="3">
        <f t="shared" si="9"/>
        <v>42.1</v>
      </c>
      <c r="P61" s="3">
        <f t="shared" si="18"/>
        <v>39.994999999999997</v>
      </c>
      <c r="Q61" s="3">
        <f t="shared" si="18"/>
        <v>37.995249999999999</v>
      </c>
      <c r="R61" s="3">
        <f t="shared" si="18"/>
        <v>36.095487499999997</v>
      </c>
      <c r="S61" s="3">
        <f t="shared" si="18"/>
        <v>34.290713124999996</v>
      </c>
      <c r="T61" s="3">
        <f t="shared" si="19"/>
        <v>32.576177468749997</v>
      </c>
      <c r="U61" s="3">
        <f t="shared" si="19"/>
        <v>30.947368595312494</v>
      </c>
      <c r="V61" s="3">
        <f t="shared" si="19"/>
        <v>29.400000165546867</v>
      </c>
      <c r="W61" s="3">
        <f t="shared" si="19"/>
        <v>27.930000157269522</v>
      </c>
      <c r="X61" s="3">
        <f t="shared" si="20"/>
        <v>0</v>
      </c>
      <c r="Y61" s="3">
        <f t="shared" si="21"/>
        <v>0</v>
      </c>
      <c r="Z61" s="3">
        <f t="shared" si="22"/>
        <v>0</v>
      </c>
      <c r="AA61" s="3">
        <f t="shared" si="23"/>
        <v>0</v>
      </c>
      <c r="AB61" s="3">
        <f t="shared" si="24"/>
        <v>0</v>
      </c>
      <c r="AC61" s="3">
        <f t="shared" si="25"/>
        <v>0</v>
      </c>
      <c r="AD61" s="3">
        <f t="shared" si="26"/>
        <v>0</v>
      </c>
      <c r="AE61" s="3">
        <f t="shared" si="27"/>
        <v>0</v>
      </c>
      <c r="AF61" s="3">
        <f t="shared" si="28"/>
        <v>0</v>
      </c>
      <c r="AG61" s="3">
        <f t="shared" si="12"/>
        <v>1</v>
      </c>
      <c r="AH61" s="3">
        <f t="shared" si="29"/>
        <v>0.95</v>
      </c>
      <c r="AI61" s="3">
        <f t="shared" si="30"/>
        <v>0.90249999999999997</v>
      </c>
      <c r="AJ61" s="3">
        <f t="shared" si="31"/>
        <v>0.85737499999999989</v>
      </c>
      <c r="AK61" s="3">
        <f t="shared" si="32"/>
        <v>0.81450624999999988</v>
      </c>
      <c r="AL61" s="3">
        <f t="shared" si="33"/>
        <v>0.77378093749999988</v>
      </c>
      <c r="AM61" s="3">
        <f t="shared" si="34"/>
        <v>0.7350918906249998</v>
      </c>
      <c r="AN61" s="3">
        <f t="shared" si="35"/>
        <v>0.69833729609374973</v>
      </c>
      <c r="AO61" s="3">
        <f t="shared" si="36"/>
        <v>0.66342043128906225</v>
      </c>
    </row>
    <row r="62" spans="1:41">
      <c r="A62">
        <f t="shared" si="39"/>
        <v>18</v>
      </c>
      <c r="B62">
        <f t="shared" si="2"/>
        <v>512</v>
      </c>
      <c r="C62">
        <f t="shared" si="3"/>
        <v>0</v>
      </c>
      <c r="D62">
        <f t="shared" si="4"/>
        <v>229</v>
      </c>
      <c r="E62">
        <f t="shared" si="5"/>
        <v>7</v>
      </c>
      <c r="F62">
        <f t="shared" si="14"/>
        <v>32.714285714285715</v>
      </c>
      <c r="G62">
        <f t="shared" si="6"/>
        <v>1</v>
      </c>
      <c r="H62">
        <f t="shared" si="0"/>
        <v>1</v>
      </c>
      <c r="I62">
        <f t="shared" si="1"/>
        <v>0.5</v>
      </c>
      <c r="J62">
        <f t="shared" si="15"/>
        <v>43.100000000000016</v>
      </c>
      <c r="K62">
        <f t="shared" si="16"/>
        <v>237.10000000000002</v>
      </c>
      <c r="L62">
        <f t="shared" si="17"/>
        <v>7276875.75</v>
      </c>
      <c r="M62">
        <f t="shared" si="7"/>
        <v>229</v>
      </c>
      <c r="N62">
        <f t="shared" si="8"/>
        <v>194</v>
      </c>
      <c r="O62" s="3">
        <f t="shared" si="9"/>
        <v>42.1</v>
      </c>
      <c r="P62" s="3">
        <f t="shared" si="18"/>
        <v>39.994999999999997</v>
      </c>
      <c r="Q62" s="3">
        <f t="shared" si="18"/>
        <v>37.995249999999999</v>
      </c>
      <c r="R62" s="3">
        <f t="shared" si="18"/>
        <v>36.095487499999997</v>
      </c>
      <c r="S62" s="3">
        <f t="shared" si="18"/>
        <v>34.290713124999996</v>
      </c>
      <c r="T62" s="3">
        <f t="shared" si="19"/>
        <v>32.576177468749997</v>
      </c>
      <c r="U62" s="3">
        <f t="shared" si="19"/>
        <v>30.947368595312494</v>
      </c>
      <c r="V62" s="3">
        <f t="shared" si="19"/>
        <v>29.400000165546867</v>
      </c>
      <c r="W62" s="3">
        <f t="shared" si="19"/>
        <v>27.930000157269522</v>
      </c>
      <c r="X62" s="3">
        <f t="shared" si="20"/>
        <v>0</v>
      </c>
      <c r="Y62" s="3">
        <f t="shared" si="21"/>
        <v>0</v>
      </c>
      <c r="Z62" s="3">
        <f t="shared" si="22"/>
        <v>0</v>
      </c>
      <c r="AA62" s="3">
        <f t="shared" si="23"/>
        <v>0</v>
      </c>
      <c r="AB62" s="3">
        <f t="shared" si="24"/>
        <v>0</v>
      </c>
      <c r="AC62" s="3">
        <f t="shared" si="25"/>
        <v>0</v>
      </c>
      <c r="AD62" s="3">
        <f t="shared" si="26"/>
        <v>0</v>
      </c>
      <c r="AE62" s="3">
        <f t="shared" si="27"/>
        <v>0</v>
      </c>
      <c r="AF62" s="3">
        <f t="shared" si="28"/>
        <v>0</v>
      </c>
      <c r="AG62" s="3">
        <f t="shared" si="12"/>
        <v>1</v>
      </c>
      <c r="AH62" s="3">
        <f t="shared" si="29"/>
        <v>0.95</v>
      </c>
      <c r="AI62" s="3">
        <f t="shared" si="30"/>
        <v>0.90249999999999997</v>
      </c>
      <c r="AJ62" s="3">
        <f t="shared" si="31"/>
        <v>0.85737499999999989</v>
      </c>
      <c r="AK62" s="3">
        <f t="shared" si="32"/>
        <v>0.81450624999999988</v>
      </c>
      <c r="AL62" s="3">
        <f t="shared" si="33"/>
        <v>0.77378093749999988</v>
      </c>
      <c r="AM62" s="3">
        <f t="shared" si="34"/>
        <v>0.7350918906249998</v>
      </c>
      <c r="AN62" s="3">
        <f t="shared" si="35"/>
        <v>0.69833729609374973</v>
      </c>
      <c r="AO62" s="3">
        <f t="shared" si="36"/>
        <v>0.66342043128906225</v>
      </c>
    </row>
    <row r="63" spans="1:41">
      <c r="A63">
        <f t="shared" si="39"/>
        <v>19</v>
      </c>
      <c r="B63">
        <f t="shared" si="2"/>
        <v>512</v>
      </c>
      <c r="C63">
        <f t="shared" si="3"/>
        <v>0</v>
      </c>
      <c r="D63">
        <f t="shared" si="4"/>
        <v>229</v>
      </c>
      <c r="E63">
        <f t="shared" si="5"/>
        <v>7</v>
      </c>
      <c r="F63">
        <f t="shared" si="14"/>
        <v>32.714285714285715</v>
      </c>
      <c r="G63">
        <f t="shared" si="6"/>
        <v>1</v>
      </c>
      <c r="H63">
        <f t="shared" si="0"/>
        <v>1</v>
      </c>
      <c r="I63">
        <f t="shared" si="1"/>
        <v>0.5</v>
      </c>
      <c r="J63">
        <f t="shared" si="15"/>
        <v>43.100000000000016</v>
      </c>
      <c r="K63">
        <f t="shared" si="16"/>
        <v>237.10000000000002</v>
      </c>
      <c r="L63">
        <f t="shared" si="17"/>
        <v>7276875.75</v>
      </c>
      <c r="M63">
        <f t="shared" si="7"/>
        <v>229</v>
      </c>
      <c r="N63">
        <f t="shared" si="8"/>
        <v>194</v>
      </c>
      <c r="O63" s="3">
        <f t="shared" si="9"/>
        <v>42.1</v>
      </c>
      <c r="P63" s="3">
        <f t="shared" si="18"/>
        <v>39.994999999999997</v>
      </c>
      <c r="Q63" s="3">
        <f t="shared" si="18"/>
        <v>37.995249999999999</v>
      </c>
      <c r="R63" s="3">
        <f t="shared" si="18"/>
        <v>36.095487499999997</v>
      </c>
      <c r="S63" s="3">
        <f t="shared" si="18"/>
        <v>34.290713124999996</v>
      </c>
      <c r="T63" s="3">
        <f t="shared" si="19"/>
        <v>32.576177468749997</v>
      </c>
      <c r="U63" s="3">
        <f t="shared" si="19"/>
        <v>30.947368595312494</v>
      </c>
      <c r="V63" s="3">
        <f t="shared" si="19"/>
        <v>29.400000165546867</v>
      </c>
      <c r="W63" s="3">
        <f t="shared" si="19"/>
        <v>27.930000157269522</v>
      </c>
      <c r="X63" s="3">
        <f t="shared" si="20"/>
        <v>0</v>
      </c>
      <c r="Y63" s="3">
        <f t="shared" si="21"/>
        <v>0</v>
      </c>
      <c r="Z63" s="3">
        <f t="shared" si="22"/>
        <v>0</v>
      </c>
      <c r="AA63" s="3">
        <f t="shared" si="23"/>
        <v>0</v>
      </c>
      <c r="AB63" s="3">
        <f t="shared" si="24"/>
        <v>0</v>
      </c>
      <c r="AC63" s="3">
        <f t="shared" si="25"/>
        <v>0</v>
      </c>
      <c r="AD63" s="3">
        <f t="shared" si="26"/>
        <v>0</v>
      </c>
      <c r="AE63" s="3">
        <f t="shared" si="27"/>
        <v>0</v>
      </c>
      <c r="AF63" s="3">
        <f t="shared" si="28"/>
        <v>0</v>
      </c>
      <c r="AG63" s="3">
        <f t="shared" si="12"/>
        <v>1</v>
      </c>
      <c r="AH63" s="3">
        <f t="shared" si="29"/>
        <v>0.95</v>
      </c>
      <c r="AI63" s="3">
        <f t="shared" si="30"/>
        <v>0.90249999999999997</v>
      </c>
      <c r="AJ63" s="3">
        <f t="shared" si="31"/>
        <v>0.85737499999999989</v>
      </c>
      <c r="AK63" s="3">
        <f t="shared" si="32"/>
        <v>0.81450624999999988</v>
      </c>
      <c r="AL63" s="3">
        <f t="shared" si="33"/>
        <v>0.77378093749999988</v>
      </c>
      <c r="AM63" s="3">
        <f t="shared" si="34"/>
        <v>0.7350918906249998</v>
      </c>
      <c r="AN63" s="3">
        <f t="shared" si="35"/>
        <v>0.69833729609374973</v>
      </c>
      <c r="AO63" s="3">
        <f t="shared" si="36"/>
        <v>0.66342043128906225</v>
      </c>
    </row>
    <row r="64" spans="1:41">
      <c r="A64">
        <f t="shared" si="39"/>
        <v>20</v>
      </c>
      <c r="B64">
        <f t="shared" si="2"/>
        <v>512</v>
      </c>
      <c r="C64">
        <f t="shared" si="3"/>
        <v>0</v>
      </c>
      <c r="D64">
        <f t="shared" si="4"/>
        <v>229</v>
      </c>
      <c r="E64">
        <f t="shared" si="5"/>
        <v>7</v>
      </c>
      <c r="F64">
        <f t="shared" si="14"/>
        <v>32.714285714285715</v>
      </c>
      <c r="G64">
        <f t="shared" si="6"/>
        <v>1</v>
      </c>
      <c r="H64">
        <f t="shared" si="0"/>
        <v>1</v>
      </c>
      <c r="I64">
        <f t="shared" si="1"/>
        <v>0.5</v>
      </c>
      <c r="J64">
        <f t="shared" si="15"/>
        <v>43.100000000000016</v>
      </c>
      <c r="K64">
        <f t="shared" si="16"/>
        <v>237.10000000000002</v>
      </c>
      <c r="L64">
        <f t="shared" si="17"/>
        <v>7276875.75</v>
      </c>
      <c r="M64">
        <f t="shared" si="7"/>
        <v>229</v>
      </c>
      <c r="N64">
        <f t="shared" si="8"/>
        <v>194</v>
      </c>
      <c r="O64" s="3">
        <f t="shared" si="9"/>
        <v>42.1</v>
      </c>
      <c r="P64" s="3">
        <f t="shared" si="18"/>
        <v>39.994999999999997</v>
      </c>
      <c r="Q64" s="3">
        <f t="shared" si="18"/>
        <v>37.995249999999999</v>
      </c>
      <c r="R64" s="3">
        <f t="shared" si="18"/>
        <v>36.095487499999997</v>
      </c>
      <c r="S64" s="3">
        <f t="shared" si="18"/>
        <v>34.290713124999996</v>
      </c>
      <c r="T64" s="3">
        <f t="shared" si="19"/>
        <v>32.576177468749997</v>
      </c>
      <c r="U64" s="3">
        <f t="shared" si="19"/>
        <v>30.947368595312494</v>
      </c>
      <c r="V64" s="3">
        <f t="shared" si="19"/>
        <v>29.400000165546867</v>
      </c>
      <c r="W64" s="3">
        <f t="shared" si="19"/>
        <v>27.930000157269522</v>
      </c>
      <c r="X64" s="3">
        <f t="shared" si="20"/>
        <v>0</v>
      </c>
      <c r="Y64" s="3">
        <f t="shared" si="21"/>
        <v>0</v>
      </c>
      <c r="Z64" s="3">
        <f t="shared" si="22"/>
        <v>0</v>
      </c>
      <c r="AA64" s="3">
        <f t="shared" si="23"/>
        <v>0</v>
      </c>
      <c r="AB64" s="3">
        <f t="shared" si="24"/>
        <v>0</v>
      </c>
      <c r="AC64" s="3">
        <f t="shared" si="25"/>
        <v>0</v>
      </c>
      <c r="AD64" s="3">
        <f t="shared" si="26"/>
        <v>0</v>
      </c>
      <c r="AE64" s="3">
        <f t="shared" si="27"/>
        <v>0</v>
      </c>
      <c r="AF64" s="3">
        <f t="shared" si="28"/>
        <v>0</v>
      </c>
      <c r="AG64" s="3">
        <f t="shared" si="12"/>
        <v>1</v>
      </c>
      <c r="AH64" s="3">
        <f t="shared" si="29"/>
        <v>0.95</v>
      </c>
      <c r="AI64" s="3">
        <f t="shared" si="30"/>
        <v>0.90249999999999997</v>
      </c>
      <c r="AJ64" s="3">
        <f t="shared" si="31"/>
        <v>0.85737499999999989</v>
      </c>
      <c r="AK64" s="3">
        <f t="shared" si="32"/>
        <v>0.81450624999999988</v>
      </c>
      <c r="AL64" s="3">
        <f t="shared" si="33"/>
        <v>0.77378093749999988</v>
      </c>
      <c r="AM64" s="3">
        <f t="shared" si="34"/>
        <v>0.7350918906249998</v>
      </c>
      <c r="AN64" s="3">
        <f t="shared" si="35"/>
        <v>0.69833729609374973</v>
      </c>
      <c r="AO64" s="3">
        <f t="shared" si="36"/>
        <v>0.66342043128906225</v>
      </c>
    </row>
    <row r="65" spans="1:41">
      <c r="A65">
        <f t="shared" si="39"/>
        <v>21</v>
      </c>
      <c r="B65">
        <f t="shared" si="2"/>
        <v>512</v>
      </c>
      <c r="C65">
        <f t="shared" si="3"/>
        <v>0</v>
      </c>
      <c r="D65">
        <f t="shared" si="4"/>
        <v>229</v>
      </c>
      <c r="E65">
        <f t="shared" si="5"/>
        <v>7</v>
      </c>
      <c r="F65">
        <f t="shared" si="14"/>
        <v>32.714285714285715</v>
      </c>
      <c r="G65">
        <f t="shared" si="6"/>
        <v>1</v>
      </c>
      <c r="H65">
        <f t="shared" si="0"/>
        <v>1</v>
      </c>
      <c r="I65">
        <f t="shared" si="1"/>
        <v>0.5</v>
      </c>
      <c r="J65">
        <f t="shared" si="15"/>
        <v>43.100000000000016</v>
      </c>
      <c r="K65">
        <f t="shared" si="16"/>
        <v>237.10000000000002</v>
      </c>
      <c r="L65">
        <f t="shared" si="17"/>
        <v>7276875.75</v>
      </c>
      <c r="M65">
        <f t="shared" si="7"/>
        <v>229</v>
      </c>
      <c r="N65">
        <f t="shared" si="8"/>
        <v>194</v>
      </c>
      <c r="O65" s="3">
        <f t="shared" si="9"/>
        <v>42.1</v>
      </c>
      <c r="P65" s="3">
        <f t="shared" si="18"/>
        <v>39.994999999999997</v>
      </c>
      <c r="Q65" s="3">
        <f t="shared" si="18"/>
        <v>37.995249999999999</v>
      </c>
      <c r="R65" s="3">
        <f t="shared" si="18"/>
        <v>36.095487499999997</v>
      </c>
      <c r="S65" s="3">
        <f t="shared" si="18"/>
        <v>34.290713124999996</v>
      </c>
      <c r="T65" s="3">
        <f t="shared" si="19"/>
        <v>32.576177468749997</v>
      </c>
      <c r="U65" s="3">
        <f t="shared" si="19"/>
        <v>30.947368595312494</v>
      </c>
      <c r="V65" s="3">
        <f t="shared" si="19"/>
        <v>29.400000165546867</v>
      </c>
      <c r="W65" s="3">
        <f t="shared" si="19"/>
        <v>27.930000157269522</v>
      </c>
      <c r="X65" s="3">
        <f t="shared" si="20"/>
        <v>0</v>
      </c>
      <c r="Y65" s="3">
        <f t="shared" si="21"/>
        <v>0</v>
      </c>
      <c r="Z65" s="3">
        <f t="shared" si="22"/>
        <v>0</v>
      </c>
      <c r="AA65" s="3">
        <f t="shared" si="23"/>
        <v>0</v>
      </c>
      <c r="AB65" s="3">
        <f t="shared" si="24"/>
        <v>0</v>
      </c>
      <c r="AC65" s="3">
        <f t="shared" si="25"/>
        <v>0</v>
      </c>
      <c r="AD65" s="3">
        <f t="shared" si="26"/>
        <v>0</v>
      </c>
      <c r="AE65" s="3">
        <f t="shared" si="27"/>
        <v>0</v>
      </c>
      <c r="AF65" s="3">
        <f t="shared" si="28"/>
        <v>0</v>
      </c>
      <c r="AG65" s="3">
        <f t="shared" si="12"/>
        <v>1</v>
      </c>
      <c r="AH65" s="3">
        <f t="shared" si="29"/>
        <v>0.95</v>
      </c>
      <c r="AI65" s="3">
        <f t="shared" si="30"/>
        <v>0.90249999999999997</v>
      </c>
      <c r="AJ65" s="3">
        <f t="shared" si="31"/>
        <v>0.85737499999999989</v>
      </c>
      <c r="AK65" s="3">
        <f t="shared" si="32"/>
        <v>0.81450624999999988</v>
      </c>
      <c r="AL65" s="3">
        <f t="shared" si="33"/>
        <v>0.77378093749999988</v>
      </c>
      <c r="AM65" s="3">
        <f t="shared" si="34"/>
        <v>0.7350918906249998</v>
      </c>
      <c r="AN65" s="3">
        <f t="shared" si="35"/>
        <v>0.69833729609374973</v>
      </c>
      <c r="AO65" s="3">
        <f t="shared" si="36"/>
        <v>0.66342043128906225</v>
      </c>
    </row>
    <row r="66" spans="1:41">
      <c r="A66">
        <f t="shared" si="39"/>
        <v>22</v>
      </c>
      <c r="B66">
        <f t="shared" si="2"/>
        <v>512</v>
      </c>
      <c r="C66">
        <f t="shared" si="3"/>
        <v>0</v>
      </c>
      <c r="D66">
        <f t="shared" si="4"/>
        <v>229</v>
      </c>
      <c r="E66">
        <f t="shared" si="5"/>
        <v>7</v>
      </c>
      <c r="F66">
        <f t="shared" si="14"/>
        <v>32.714285714285715</v>
      </c>
      <c r="G66">
        <f t="shared" si="6"/>
        <v>1</v>
      </c>
      <c r="H66">
        <f t="shared" si="0"/>
        <v>1</v>
      </c>
      <c r="I66">
        <f t="shared" si="1"/>
        <v>0.5</v>
      </c>
      <c r="J66">
        <f t="shared" si="15"/>
        <v>43.100000000000016</v>
      </c>
      <c r="K66">
        <f t="shared" si="16"/>
        <v>237.10000000000002</v>
      </c>
      <c r="L66">
        <f t="shared" si="17"/>
        <v>7276875.75</v>
      </c>
      <c r="M66">
        <f t="shared" si="7"/>
        <v>229</v>
      </c>
      <c r="N66">
        <f t="shared" si="8"/>
        <v>194</v>
      </c>
      <c r="O66" s="3">
        <f t="shared" si="9"/>
        <v>42.1</v>
      </c>
      <c r="P66" s="3">
        <f t="shared" si="18"/>
        <v>39.994999999999997</v>
      </c>
      <c r="Q66" s="3">
        <f t="shared" si="18"/>
        <v>37.995249999999999</v>
      </c>
      <c r="R66" s="3">
        <f t="shared" si="18"/>
        <v>36.095487499999997</v>
      </c>
      <c r="S66" s="3">
        <f t="shared" si="18"/>
        <v>34.290713124999996</v>
      </c>
      <c r="T66" s="3">
        <f t="shared" si="19"/>
        <v>32.576177468749997</v>
      </c>
      <c r="U66" s="3">
        <f t="shared" si="19"/>
        <v>30.947368595312494</v>
      </c>
      <c r="V66" s="3">
        <f t="shared" si="19"/>
        <v>29.400000165546867</v>
      </c>
      <c r="W66" s="3">
        <f t="shared" si="19"/>
        <v>27.930000157269522</v>
      </c>
      <c r="X66" s="3">
        <f t="shared" si="20"/>
        <v>0</v>
      </c>
      <c r="Y66" s="3">
        <f t="shared" si="21"/>
        <v>0</v>
      </c>
      <c r="Z66" s="3">
        <f t="shared" si="22"/>
        <v>0</v>
      </c>
      <c r="AA66" s="3">
        <f t="shared" si="23"/>
        <v>0</v>
      </c>
      <c r="AB66" s="3">
        <f t="shared" si="24"/>
        <v>0</v>
      </c>
      <c r="AC66" s="3">
        <f t="shared" si="25"/>
        <v>0</v>
      </c>
      <c r="AD66" s="3">
        <f t="shared" si="26"/>
        <v>0</v>
      </c>
      <c r="AE66" s="3">
        <f t="shared" si="27"/>
        <v>0</v>
      </c>
      <c r="AF66" s="3">
        <f t="shared" si="28"/>
        <v>0</v>
      </c>
      <c r="AG66" s="3">
        <f t="shared" si="12"/>
        <v>1</v>
      </c>
      <c r="AH66" s="3">
        <f t="shared" si="29"/>
        <v>0.95</v>
      </c>
      <c r="AI66" s="3">
        <f t="shared" si="30"/>
        <v>0.90249999999999997</v>
      </c>
      <c r="AJ66" s="3">
        <f t="shared" si="31"/>
        <v>0.85737499999999989</v>
      </c>
      <c r="AK66" s="3">
        <f t="shared" si="32"/>
        <v>0.81450624999999988</v>
      </c>
      <c r="AL66" s="3">
        <f t="shared" si="33"/>
        <v>0.77378093749999988</v>
      </c>
      <c r="AM66" s="3">
        <f t="shared" si="34"/>
        <v>0.7350918906249998</v>
      </c>
      <c r="AN66" s="3">
        <f t="shared" si="35"/>
        <v>0.69833729609374973</v>
      </c>
      <c r="AO66" s="3">
        <f t="shared" si="36"/>
        <v>0.66342043128906225</v>
      </c>
    </row>
    <row r="67" spans="1:41">
      <c r="A67">
        <f t="shared" si="39"/>
        <v>23</v>
      </c>
      <c r="B67">
        <f t="shared" si="2"/>
        <v>512</v>
      </c>
      <c r="C67">
        <f t="shared" si="3"/>
        <v>0</v>
      </c>
      <c r="D67">
        <f t="shared" si="4"/>
        <v>229</v>
      </c>
      <c r="E67">
        <f t="shared" si="5"/>
        <v>7</v>
      </c>
      <c r="F67">
        <f t="shared" si="14"/>
        <v>32.714285714285715</v>
      </c>
      <c r="G67">
        <f t="shared" si="6"/>
        <v>1</v>
      </c>
      <c r="H67">
        <f t="shared" si="0"/>
        <v>1</v>
      </c>
      <c r="I67">
        <f t="shared" si="1"/>
        <v>0.5</v>
      </c>
      <c r="J67">
        <f t="shared" si="15"/>
        <v>43.100000000000016</v>
      </c>
      <c r="K67">
        <f t="shared" si="16"/>
        <v>237.10000000000002</v>
      </c>
      <c r="L67">
        <f t="shared" si="17"/>
        <v>7276875.75</v>
      </c>
      <c r="M67">
        <f t="shared" si="7"/>
        <v>229</v>
      </c>
      <c r="N67">
        <f t="shared" si="8"/>
        <v>194</v>
      </c>
      <c r="O67" s="3">
        <f t="shared" si="9"/>
        <v>42.1</v>
      </c>
      <c r="P67" s="3">
        <f t="shared" si="18"/>
        <v>39.994999999999997</v>
      </c>
      <c r="Q67" s="3">
        <f t="shared" si="18"/>
        <v>37.995249999999999</v>
      </c>
      <c r="R67" s="3">
        <f t="shared" si="18"/>
        <v>36.095487499999997</v>
      </c>
      <c r="S67" s="3">
        <f t="shared" si="18"/>
        <v>34.290713124999996</v>
      </c>
      <c r="T67" s="3">
        <f t="shared" si="19"/>
        <v>32.576177468749997</v>
      </c>
      <c r="U67" s="3">
        <f t="shared" si="19"/>
        <v>30.947368595312494</v>
      </c>
      <c r="V67" s="3">
        <f t="shared" si="19"/>
        <v>29.400000165546867</v>
      </c>
      <c r="W67" s="3">
        <f t="shared" si="19"/>
        <v>27.930000157269522</v>
      </c>
      <c r="X67" s="3">
        <f t="shared" si="20"/>
        <v>0</v>
      </c>
      <c r="Y67" s="3">
        <f t="shared" si="21"/>
        <v>0</v>
      </c>
      <c r="Z67" s="3">
        <f t="shared" si="22"/>
        <v>0</v>
      </c>
      <c r="AA67" s="3">
        <f t="shared" si="23"/>
        <v>0</v>
      </c>
      <c r="AB67" s="3">
        <f t="shared" si="24"/>
        <v>0</v>
      </c>
      <c r="AC67" s="3">
        <f t="shared" si="25"/>
        <v>0</v>
      </c>
      <c r="AD67" s="3">
        <f t="shared" si="26"/>
        <v>0</v>
      </c>
      <c r="AE67" s="3">
        <f t="shared" si="27"/>
        <v>0</v>
      </c>
      <c r="AF67" s="3">
        <f t="shared" si="28"/>
        <v>0</v>
      </c>
      <c r="AG67" s="3">
        <f t="shared" si="12"/>
        <v>1</v>
      </c>
      <c r="AH67" s="3">
        <f t="shared" si="29"/>
        <v>0.95</v>
      </c>
      <c r="AI67" s="3">
        <f t="shared" si="30"/>
        <v>0.90249999999999997</v>
      </c>
      <c r="AJ67" s="3">
        <f t="shared" si="31"/>
        <v>0.85737499999999989</v>
      </c>
      <c r="AK67" s="3">
        <f t="shared" si="32"/>
        <v>0.81450624999999988</v>
      </c>
      <c r="AL67" s="3">
        <f t="shared" si="33"/>
        <v>0.77378093749999988</v>
      </c>
      <c r="AM67" s="3">
        <f t="shared" si="34"/>
        <v>0.7350918906249998</v>
      </c>
      <c r="AN67" s="3">
        <f t="shared" si="35"/>
        <v>0.69833729609374973</v>
      </c>
      <c r="AO67" s="3">
        <f t="shared" si="36"/>
        <v>0.66342043128906225</v>
      </c>
    </row>
    <row r="68" spans="1:41">
      <c r="A68">
        <f t="shared" si="39"/>
        <v>24</v>
      </c>
      <c r="B68">
        <f t="shared" si="2"/>
        <v>512</v>
      </c>
      <c r="C68">
        <f t="shared" si="3"/>
        <v>0</v>
      </c>
      <c r="D68">
        <f t="shared" si="4"/>
        <v>229</v>
      </c>
      <c r="E68">
        <f t="shared" si="5"/>
        <v>7</v>
      </c>
      <c r="F68">
        <f t="shared" si="14"/>
        <v>32.714285714285715</v>
      </c>
      <c r="G68">
        <f t="shared" si="6"/>
        <v>1</v>
      </c>
      <c r="H68">
        <f t="shared" si="0"/>
        <v>1</v>
      </c>
      <c r="I68">
        <f t="shared" si="1"/>
        <v>0.5</v>
      </c>
      <c r="J68">
        <f t="shared" si="15"/>
        <v>43.100000000000016</v>
      </c>
      <c r="K68">
        <f t="shared" si="16"/>
        <v>237.10000000000002</v>
      </c>
      <c r="L68">
        <f t="shared" si="17"/>
        <v>7276875.75</v>
      </c>
      <c r="M68">
        <f t="shared" si="7"/>
        <v>229</v>
      </c>
      <c r="N68">
        <f t="shared" si="8"/>
        <v>194</v>
      </c>
      <c r="O68" s="3">
        <f t="shared" si="9"/>
        <v>42.1</v>
      </c>
      <c r="P68" s="3">
        <f t="shared" si="18"/>
        <v>39.994999999999997</v>
      </c>
      <c r="Q68" s="3">
        <f t="shared" si="18"/>
        <v>37.995249999999999</v>
      </c>
      <c r="R68" s="3">
        <f t="shared" si="18"/>
        <v>36.095487499999997</v>
      </c>
      <c r="S68" s="3">
        <f t="shared" si="18"/>
        <v>34.290713124999996</v>
      </c>
      <c r="T68" s="3">
        <f t="shared" si="19"/>
        <v>32.576177468749997</v>
      </c>
      <c r="U68" s="3">
        <f t="shared" si="19"/>
        <v>30.947368595312494</v>
      </c>
      <c r="V68" s="3">
        <f t="shared" si="19"/>
        <v>29.400000165546867</v>
      </c>
      <c r="W68" s="3">
        <f t="shared" si="19"/>
        <v>27.930000157269522</v>
      </c>
      <c r="X68" s="3">
        <f t="shared" si="20"/>
        <v>0</v>
      </c>
      <c r="Y68" s="3">
        <f t="shared" si="21"/>
        <v>0</v>
      </c>
      <c r="Z68" s="3">
        <f t="shared" si="22"/>
        <v>0</v>
      </c>
      <c r="AA68" s="3">
        <f t="shared" si="23"/>
        <v>0</v>
      </c>
      <c r="AB68" s="3">
        <f t="shared" si="24"/>
        <v>0</v>
      </c>
      <c r="AC68" s="3">
        <f t="shared" si="25"/>
        <v>0</v>
      </c>
      <c r="AD68" s="3">
        <f t="shared" si="26"/>
        <v>0</v>
      </c>
      <c r="AE68" s="3">
        <f t="shared" si="27"/>
        <v>0</v>
      </c>
      <c r="AF68" s="3">
        <f t="shared" si="28"/>
        <v>0</v>
      </c>
      <c r="AG68" s="3">
        <f t="shared" si="12"/>
        <v>1</v>
      </c>
      <c r="AH68" s="3">
        <f t="shared" si="29"/>
        <v>0.95</v>
      </c>
      <c r="AI68" s="3">
        <f t="shared" si="30"/>
        <v>0.90249999999999997</v>
      </c>
      <c r="AJ68" s="3">
        <f t="shared" si="31"/>
        <v>0.85737499999999989</v>
      </c>
      <c r="AK68" s="3">
        <f t="shared" si="32"/>
        <v>0.81450624999999988</v>
      </c>
      <c r="AL68" s="3">
        <f t="shared" si="33"/>
        <v>0.77378093749999988</v>
      </c>
      <c r="AM68" s="3">
        <f t="shared" si="34"/>
        <v>0.7350918906249998</v>
      </c>
      <c r="AN68" s="3">
        <f t="shared" si="35"/>
        <v>0.69833729609374973</v>
      </c>
      <c r="AO68" s="3">
        <f t="shared" si="36"/>
        <v>0.66342043128906225</v>
      </c>
    </row>
    <row r="69" spans="1:41">
      <c r="A69">
        <f t="shared" si="39"/>
        <v>25</v>
      </c>
      <c r="B69">
        <f t="shared" si="2"/>
        <v>512</v>
      </c>
      <c r="C69">
        <f t="shared" si="3"/>
        <v>0</v>
      </c>
      <c r="D69">
        <f t="shared" si="4"/>
        <v>229</v>
      </c>
      <c r="E69">
        <f t="shared" si="5"/>
        <v>7</v>
      </c>
      <c r="F69">
        <f t="shared" si="14"/>
        <v>32.714285714285715</v>
      </c>
      <c r="G69">
        <f t="shared" si="6"/>
        <v>1</v>
      </c>
      <c r="H69">
        <f t="shared" si="0"/>
        <v>1</v>
      </c>
      <c r="I69">
        <f t="shared" si="1"/>
        <v>0.5</v>
      </c>
      <c r="J69">
        <f t="shared" si="15"/>
        <v>43.100000000000016</v>
      </c>
      <c r="K69">
        <f t="shared" si="16"/>
        <v>237.10000000000002</v>
      </c>
      <c r="L69">
        <f t="shared" si="17"/>
        <v>7276875.75</v>
      </c>
      <c r="M69">
        <f t="shared" si="7"/>
        <v>229</v>
      </c>
      <c r="N69">
        <f t="shared" si="8"/>
        <v>194</v>
      </c>
      <c r="O69" s="3">
        <f t="shared" si="9"/>
        <v>42.1</v>
      </c>
      <c r="P69" s="3">
        <f t="shared" si="18"/>
        <v>39.994999999999997</v>
      </c>
      <c r="Q69" s="3">
        <f t="shared" si="18"/>
        <v>37.995249999999999</v>
      </c>
      <c r="R69" s="3">
        <f t="shared" si="18"/>
        <v>36.095487499999997</v>
      </c>
      <c r="S69" s="3">
        <f t="shared" si="18"/>
        <v>34.290713124999996</v>
      </c>
      <c r="T69" s="3">
        <f t="shared" si="19"/>
        <v>32.576177468749997</v>
      </c>
      <c r="U69" s="3">
        <f t="shared" si="19"/>
        <v>30.947368595312494</v>
      </c>
      <c r="V69" s="3">
        <f t="shared" si="19"/>
        <v>29.400000165546867</v>
      </c>
      <c r="W69" s="3">
        <f t="shared" si="19"/>
        <v>27.930000157269522</v>
      </c>
      <c r="X69" s="3">
        <f t="shared" si="20"/>
        <v>0</v>
      </c>
      <c r="Y69" s="3">
        <f t="shared" si="21"/>
        <v>0</v>
      </c>
      <c r="Z69" s="3">
        <f t="shared" si="22"/>
        <v>0</v>
      </c>
      <c r="AA69" s="3">
        <f t="shared" si="23"/>
        <v>0</v>
      </c>
      <c r="AB69" s="3">
        <f t="shared" si="24"/>
        <v>0</v>
      </c>
      <c r="AC69" s="3">
        <f t="shared" si="25"/>
        <v>0</v>
      </c>
      <c r="AD69" s="3">
        <f t="shared" si="26"/>
        <v>0</v>
      </c>
      <c r="AE69" s="3">
        <f t="shared" si="27"/>
        <v>0</v>
      </c>
      <c r="AF69" s="3">
        <f t="shared" si="28"/>
        <v>0</v>
      </c>
      <c r="AG69" s="3">
        <f t="shared" si="12"/>
        <v>1</v>
      </c>
      <c r="AH69" s="3">
        <f t="shared" si="29"/>
        <v>0.95</v>
      </c>
      <c r="AI69" s="3">
        <f t="shared" si="30"/>
        <v>0.90249999999999997</v>
      </c>
      <c r="AJ69" s="3">
        <f t="shared" si="31"/>
        <v>0.85737499999999989</v>
      </c>
      <c r="AK69" s="3">
        <f t="shared" si="32"/>
        <v>0.81450624999999988</v>
      </c>
      <c r="AL69" s="3">
        <f t="shared" si="33"/>
        <v>0.77378093749999988</v>
      </c>
      <c r="AM69" s="3">
        <f t="shared" si="34"/>
        <v>0.7350918906249998</v>
      </c>
      <c r="AN69" s="3">
        <f t="shared" si="35"/>
        <v>0.69833729609374973</v>
      </c>
      <c r="AO69" s="3">
        <f t="shared" si="36"/>
        <v>0.66342043128906225</v>
      </c>
    </row>
    <row r="70" spans="1:41">
      <c r="A70">
        <f t="shared" si="39"/>
        <v>26</v>
      </c>
      <c r="B70">
        <f t="shared" si="2"/>
        <v>512</v>
      </c>
      <c r="C70">
        <f t="shared" si="3"/>
        <v>0</v>
      </c>
      <c r="D70">
        <f t="shared" si="4"/>
        <v>229</v>
      </c>
      <c r="E70">
        <f t="shared" si="5"/>
        <v>7</v>
      </c>
      <c r="F70">
        <f t="shared" si="14"/>
        <v>32.714285714285715</v>
      </c>
      <c r="G70">
        <f t="shared" si="6"/>
        <v>1</v>
      </c>
      <c r="H70">
        <f t="shared" si="0"/>
        <v>1</v>
      </c>
      <c r="I70">
        <f t="shared" si="1"/>
        <v>0.5</v>
      </c>
      <c r="J70">
        <f t="shared" si="15"/>
        <v>43.100000000000016</v>
      </c>
      <c r="K70">
        <f t="shared" si="16"/>
        <v>237.10000000000002</v>
      </c>
      <c r="L70">
        <f t="shared" si="17"/>
        <v>7276875.75</v>
      </c>
      <c r="M70">
        <f t="shared" si="7"/>
        <v>229</v>
      </c>
      <c r="N70">
        <f t="shared" si="8"/>
        <v>194</v>
      </c>
      <c r="O70" s="3">
        <f t="shared" si="9"/>
        <v>42.1</v>
      </c>
      <c r="P70" s="3">
        <f t="shared" si="18"/>
        <v>39.994999999999997</v>
      </c>
      <c r="Q70" s="3">
        <f t="shared" si="18"/>
        <v>37.995249999999999</v>
      </c>
      <c r="R70" s="3">
        <f t="shared" si="18"/>
        <v>36.095487499999997</v>
      </c>
      <c r="S70" s="3">
        <f t="shared" si="18"/>
        <v>34.290713124999996</v>
      </c>
      <c r="T70" s="3">
        <f t="shared" si="19"/>
        <v>32.576177468749997</v>
      </c>
      <c r="U70" s="3">
        <f t="shared" si="19"/>
        <v>30.947368595312494</v>
      </c>
      <c r="V70" s="3">
        <f t="shared" si="19"/>
        <v>29.400000165546867</v>
      </c>
      <c r="W70" s="3">
        <f t="shared" si="19"/>
        <v>27.930000157269522</v>
      </c>
      <c r="X70" s="3">
        <f t="shared" si="20"/>
        <v>0</v>
      </c>
      <c r="Y70" s="3">
        <f t="shared" si="21"/>
        <v>0</v>
      </c>
      <c r="Z70" s="3">
        <f t="shared" si="22"/>
        <v>0</v>
      </c>
      <c r="AA70" s="3">
        <f t="shared" si="23"/>
        <v>0</v>
      </c>
      <c r="AB70" s="3">
        <f t="shared" si="24"/>
        <v>0</v>
      </c>
      <c r="AC70" s="3">
        <f t="shared" si="25"/>
        <v>0</v>
      </c>
      <c r="AD70" s="3">
        <f t="shared" si="26"/>
        <v>0</v>
      </c>
      <c r="AE70" s="3">
        <f t="shared" si="27"/>
        <v>0</v>
      </c>
      <c r="AF70" s="3">
        <f t="shared" si="28"/>
        <v>0</v>
      </c>
      <c r="AG70" s="3">
        <f t="shared" si="12"/>
        <v>1</v>
      </c>
      <c r="AH70" s="3">
        <f t="shared" si="29"/>
        <v>0.95</v>
      </c>
      <c r="AI70" s="3">
        <f t="shared" si="30"/>
        <v>0.90249999999999997</v>
      </c>
      <c r="AJ70" s="3">
        <f t="shared" si="31"/>
        <v>0.85737499999999989</v>
      </c>
      <c r="AK70" s="3">
        <f t="shared" si="32"/>
        <v>0.81450624999999988</v>
      </c>
      <c r="AL70" s="3">
        <f t="shared" si="33"/>
        <v>0.77378093749999988</v>
      </c>
      <c r="AM70" s="3">
        <f t="shared" si="34"/>
        <v>0.7350918906249998</v>
      </c>
      <c r="AN70" s="3">
        <f t="shared" si="35"/>
        <v>0.69833729609374973</v>
      </c>
      <c r="AO70" s="3">
        <f t="shared" si="36"/>
        <v>0.66342043128906225</v>
      </c>
    </row>
    <row r="71" spans="1:41">
      <c r="A71">
        <f t="shared" si="39"/>
        <v>27</v>
      </c>
      <c r="B71">
        <f t="shared" si="2"/>
        <v>512</v>
      </c>
      <c r="C71">
        <f t="shared" si="3"/>
        <v>0</v>
      </c>
      <c r="D71">
        <f t="shared" si="4"/>
        <v>229</v>
      </c>
      <c r="E71">
        <f t="shared" si="5"/>
        <v>7</v>
      </c>
      <c r="F71">
        <f t="shared" si="14"/>
        <v>32.714285714285715</v>
      </c>
      <c r="G71">
        <f t="shared" si="6"/>
        <v>1</v>
      </c>
      <c r="H71">
        <f t="shared" si="0"/>
        <v>1</v>
      </c>
      <c r="I71">
        <f t="shared" si="1"/>
        <v>0.5</v>
      </c>
      <c r="J71">
        <f t="shared" si="15"/>
        <v>43.100000000000016</v>
      </c>
      <c r="K71">
        <f t="shared" si="16"/>
        <v>237.10000000000002</v>
      </c>
      <c r="L71">
        <f t="shared" si="17"/>
        <v>7276875.75</v>
      </c>
      <c r="M71">
        <f t="shared" si="7"/>
        <v>229</v>
      </c>
      <c r="N71">
        <f t="shared" si="8"/>
        <v>194</v>
      </c>
      <c r="O71" s="3">
        <f t="shared" si="9"/>
        <v>42.1</v>
      </c>
      <c r="P71" s="3">
        <f t="shared" si="18"/>
        <v>39.994999999999997</v>
      </c>
      <c r="Q71" s="3">
        <f t="shared" si="18"/>
        <v>37.995249999999999</v>
      </c>
      <c r="R71" s="3">
        <f t="shared" si="18"/>
        <v>36.095487499999997</v>
      </c>
      <c r="S71" s="3">
        <f t="shared" si="18"/>
        <v>34.290713124999996</v>
      </c>
      <c r="T71" s="3">
        <f t="shared" si="19"/>
        <v>32.576177468749997</v>
      </c>
      <c r="U71" s="3">
        <f t="shared" si="19"/>
        <v>30.947368595312494</v>
      </c>
      <c r="V71" s="3">
        <f t="shared" si="19"/>
        <v>29.400000165546867</v>
      </c>
      <c r="W71" s="3">
        <f t="shared" si="19"/>
        <v>27.930000157269522</v>
      </c>
      <c r="X71" s="3">
        <f t="shared" si="20"/>
        <v>0</v>
      </c>
      <c r="Y71" s="3">
        <f t="shared" si="21"/>
        <v>0</v>
      </c>
      <c r="Z71" s="3">
        <f t="shared" si="22"/>
        <v>0</v>
      </c>
      <c r="AA71" s="3">
        <f t="shared" si="23"/>
        <v>0</v>
      </c>
      <c r="AB71" s="3">
        <f t="shared" si="24"/>
        <v>0</v>
      </c>
      <c r="AC71" s="3">
        <f t="shared" si="25"/>
        <v>0</v>
      </c>
      <c r="AD71" s="3">
        <f t="shared" si="26"/>
        <v>0</v>
      </c>
      <c r="AE71" s="3">
        <f t="shared" si="27"/>
        <v>0</v>
      </c>
      <c r="AF71" s="3">
        <f t="shared" si="28"/>
        <v>0</v>
      </c>
      <c r="AG71" s="3">
        <f t="shared" si="12"/>
        <v>1</v>
      </c>
      <c r="AH71" s="3">
        <f t="shared" si="29"/>
        <v>0.95</v>
      </c>
      <c r="AI71" s="3">
        <f t="shared" si="30"/>
        <v>0.90249999999999997</v>
      </c>
      <c r="AJ71" s="3">
        <f t="shared" si="31"/>
        <v>0.85737499999999989</v>
      </c>
      <c r="AK71" s="3">
        <f t="shared" si="32"/>
        <v>0.81450624999999988</v>
      </c>
      <c r="AL71" s="3">
        <f t="shared" si="33"/>
        <v>0.77378093749999988</v>
      </c>
      <c r="AM71" s="3">
        <f t="shared" si="34"/>
        <v>0.7350918906249998</v>
      </c>
      <c r="AN71" s="3">
        <f t="shared" si="35"/>
        <v>0.69833729609374973</v>
      </c>
      <c r="AO71" s="3">
        <f t="shared" si="36"/>
        <v>0.66342043128906225</v>
      </c>
    </row>
    <row r="72" spans="1:41">
      <c r="A72">
        <f t="shared" ref="A72:A75" si="40">A71+1</f>
        <v>28</v>
      </c>
      <c r="B72">
        <f t="shared" si="2"/>
        <v>512</v>
      </c>
      <c r="C72">
        <f t="shared" si="3"/>
        <v>0</v>
      </c>
      <c r="D72">
        <f t="shared" si="4"/>
        <v>229</v>
      </c>
      <c r="E72">
        <f t="shared" si="5"/>
        <v>7</v>
      </c>
      <c r="F72">
        <f t="shared" si="14"/>
        <v>32.714285714285715</v>
      </c>
      <c r="G72">
        <f t="shared" si="6"/>
        <v>1</v>
      </c>
      <c r="H72">
        <f t="shared" si="0"/>
        <v>1</v>
      </c>
      <c r="I72">
        <f t="shared" si="1"/>
        <v>0.5</v>
      </c>
      <c r="J72">
        <f t="shared" si="15"/>
        <v>43.100000000000016</v>
      </c>
      <c r="K72">
        <f t="shared" si="16"/>
        <v>237.10000000000002</v>
      </c>
      <c r="L72">
        <f t="shared" si="17"/>
        <v>7276875.75</v>
      </c>
      <c r="M72">
        <f t="shared" si="7"/>
        <v>229</v>
      </c>
      <c r="N72">
        <f t="shared" si="8"/>
        <v>194</v>
      </c>
      <c r="O72" s="3">
        <f t="shared" si="9"/>
        <v>42.1</v>
      </c>
      <c r="P72" s="3">
        <f t="shared" si="18"/>
        <v>39.994999999999997</v>
      </c>
      <c r="Q72" s="3">
        <f t="shared" si="18"/>
        <v>37.995249999999999</v>
      </c>
      <c r="R72" s="3">
        <f t="shared" si="18"/>
        <v>36.095487499999997</v>
      </c>
      <c r="S72" s="3">
        <f t="shared" si="18"/>
        <v>34.290713124999996</v>
      </c>
      <c r="T72" s="3">
        <f t="shared" si="19"/>
        <v>32.576177468749997</v>
      </c>
      <c r="U72" s="3">
        <f t="shared" si="19"/>
        <v>30.947368595312494</v>
      </c>
      <c r="V72" s="3">
        <f t="shared" si="19"/>
        <v>29.400000165546867</v>
      </c>
      <c r="W72" s="3">
        <f t="shared" si="19"/>
        <v>27.930000157269522</v>
      </c>
      <c r="X72" s="3">
        <f t="shared" si="20"/>
        <v>0</v>
      </c>
      <c r="Y72" s="3">
        <f t="shared" si="21"/>
        <v>0</v>
      </c>
      <c r="Z72" s="3">
        <f t="shared" si="22"/>
        <v>0</v>
      </c>
      <c r="AA72" s="3">
        <f t="shared" si="23"/>
        <v>0</v>
      </c>
      <c r="AB72" s="3">
        <f t="shared" si="24"/>
        <v>0</v>
      </c>
      <c r="AC72" s="3">
        <f t="shared" si="25"/>
        <v>0</v>
      </c>
      <c r="AD72" s="3">
        <f t="shared" si="26"/>
        <v>0</v>
      </c>
      <c r="AE72" s="3">
        <f t="shared" si="27"/>
        <v>0</v>
      </c>
      <c r="AF72" s="3">
        <f t="shared" si="28"/>
        <v>0</v>
      </c>
      <c r="AG72" s="3">
        <f t="shared" si="12"/>
        <v>1</v>
      </c>
      <c r="AH72" s="3">
        <f t="shared" si="29"/>
        <v>0.95</v>
      </c>
      <c r="AI72" s="3">
        <f t="shared" si="30"/>
        <v>0.90249999999999997</v>
      </c>
      <c r="AJ72" s="3">
        <f t="shared" si="31"/>
        <v>0.85737499999999989</v>
      </c>
      <c r="AK72" s="3">
        <f t="shared" si="32"/>
        <v>0.81450624999999988</v>
      </c>
      <c r="AL72" s="3">
        <f t="shared" si="33"/>
        <v>0.77378093749999988</v>
      </c>
      <c r="AM72" s="3">
        <f t="shared" si="34"/>
        <v>0.7350918906249998</v>
      </c>
      <c r="AN72" s="3">
        <f t="shared" si="35"/>
        <v>0.69833729609374973</v>
      </c>
      <c r="AO72" s="3">
        <f t="shared" si="36"/>
        <v>0.66342043128906225</v>
      </c>
    </row>
    <row r="73" spans="1:41">
      <c r="A73">
        <f t="shared" si="40"/>
        <v>29</v>
      </c>
      <c r="B73">
        <f t="shared" si="2"/>
        <v>512</v>
      </c>
      <c r="C73">
        <f t="shared" si="3"/>
        <v>0</v>
      </c>
      <c r="D73">
        <f t="shared" si="4"/>
        <v>229</v>
      </c>
      <c r="E73">
        <f t="shared" si="5"/>
        <v>7</v>
      </c>
      <c r="F73">
        <f t="shared" si="14"/>
        <v>32.714285714285715</v>
      </c>
      <c r="G73">
        <f t="shared" si="6"/>
        <v>1</v>
      </c>
      <c r="H73">
        <f t="shared" si="0"/>
        <v>1</v>
      </c>
      <c r="I73">
        <f t="shared" si="1"/>
        <v>0.5</v>
      </c>
      <c r="J73">
        <f t="shared" si="15"/>
        <v>43.100000000000016</v>
      </c>
      <c r="K73">
        <f t="shared" si="16"/>
        <v>237.10000000000002</v>
      </c>
      <c r="L73">
        <f t="shared" si="17"/>
        <v>7276875.75</v>
      </c>
      <c r="M73">
        <f t="shared" si="7"/>
        <v>229</v>
      </c>
      <c r="N73">
        <f t="shared" si="8"/>
        <v>194</v>
      </c>
      <c r="O73" s="3">
        <f t="shared" si="9"/>
        <v>42.1</v>
      </c>
      <c r="P73" s="3">
        <f t="shared" si="18"/>
        <v>39.994999999999997</v>
      </c>
      <c r="Q73" s="3">
        <f t="shared" si="18"/>
        <v>37.995249999999999</v>
      </c>
      <c r="R73" s="3">
        <f t="shared" si="18"/>
        <v>36.095487499999997</v>
      </c>
      <c r="S73" s="3">
        <f t="shared" si="18"/>
        <v>34.290713124999996</v>
      </c>
      <c r="T73" s="3">
        <f t="shared" si="19"/>
        <v>32.576177468749997</v>
      </c>
      <c r="U73" s="3">
        <f t="shared" si="19"/>
        <v>30.947368595312494</v>
      </c>
      <c r="V73" s="3">
        <f t="shared" si="19"/>
        <v>29.400000165546867</v>
      </c>
      <c r="W73" s="3">
        <f t="shared" si="19"/>
        <v>27.930000157269522</v>
      </c>
      <c r="X73" s="3">
        <f t="shared" si="20"/>
        <v>0</v>
      </c>
      <c r="Y73" s="3">
        <f t="shared" si="21"/>
        <v>0</v>
      </c>
      <c r="Z73" s="3">
        <f t="shared" si="22"/>
        <v>0</v>
      </c>
      <c r="AA73" s="3">
        <f t="shared" si="23"/>
        <v>0</v>
      </c>
      <c r="AB73" s="3">
        <f t="shared" si="24"/>
        <v>0</v>
      </c>
      <c r="AC73" s="3">
        <f t="shared" si="25"/>
        <v>0</v>
      </c>
      <c r="AD73" s="3">
        <f t="shared" si="26"/>
        <v>0</v>
      </c>
      <c r="AE73" s="3">
        <f t="shared" si="27"/>
        <v>0</v>
      </c>
      <c r="AF73" s="3">
        <f t="shared" si="28"/>
        <v>0</v>
      </c>
      <c r="AG73" s="3">
        <f t="shared" si="12"/>
        <v>1</v>
      </c>
      <c r="AH73" s="3">
        <f t="shared" si="29"/>
        <v>0.95</v>
      </c>
      <c r="AI73" s="3">
        <f t="shared" si="30"/>
        <v>0.90249999999999997</v>
      </c>
      <c r="AJ73" s="3">
        <f t="shared" si="31"/>
        <v>0.85737499999999989</v>
      </c>
      <c r="AK73" s="3">
        <f t="shared" si="32"/>
        <v>0.81450624999999988</v>
      </c>
      <c r="AL73" s="3">
        <f t="shared" si="33"/>
        <v>0.77378093749999988</v>
      </c>
      <c r="AM73" s="3">
        <f t="shared" si="34"/>
        <v>0.7350918906249998</v>
      </c>
      <c r="AN73" s="3">
        <f t="shared" si="35"/>
        <v>0.69833729609374973</v>
      </c>
      <c r="AO73" s="3">
        <f t="shared" si="36"/>
        <v>0.66342043128906225</v>
      </c>
    </row>
    <row r="74" spans="1:41">
      <c r="A74">
        <f t="shared" si="40"/>
        <v>30</v>
      </c>
      <c r="B74">
        <f t="shared" si="2"/>
        <v>512</v>
      </c>
      <c r="C74">
        <f t="shared" si="3"/>
        <v>0</v>
      </c>
      <c r="D74">
        <f t="shared" si="4"/>
        <v>229</v>
      </c>
      <c r="E74">
        <f t="shared" si="5"/>
        <v>7</v>
      </c>
      <c r="F74">
        <f t="shared" si="14"/>
        <v>32.714285714285715</v>
      </c>
      <c r="G74">
        <f t="shared" si="6"/>
        <v>1</v>
      </c>
      <c r="H74">
        <f t="shared" si="0"/>
        <v>1</v>
      </c>
      <c r="I74">
        <f t="shared" si="1"/>
        <v>0.5</v>
      </c>
      <c r="J74">
        <f t="shared" si="15"/>
        <v>43.100000000000016</v>
      </c>
      <c r="K74">
        <f t="shared" si="16"/>
        <v>237.10000000000002</v>
      </c>
      <c r="L74">
        <f t="shared" si="17"/>
        <v>7276875.75</v>
      </c>
      <c r="M74">
        <f t="shared" si="7"/>
        <v>229</v>
      </c>
      <c r="N74">
        <f t="shared" si="8"/>
        <v>194</v>
      </c>
      <c r="O74" s="3">
        <f t="shared" si="9"/>
        <v>42.1</v>
      </c>
      <c r="P74" s="3">
        <f t="shared" si="18"/>
        <v>39.994999999999997</v>
      </c>
      <c r="Q74" s="3">
        <f t="shared" si="18"/>
        <v>37.995249999999999</v>
      </c>
      <c r="R74" s="3">
        <f t="shared" si="18"/>
        <v>36.095487499999997</v>
      </c>
      <c r="S74" s="3">
        <f t="shared" si="18"/>
        <v>34.290713124999996</v>
      </c>
      <c r="T74" s="3">
        <f t="shared" si="19"/>
        <v>32.576177468749997</v>
      </c>
      <c r="U74" s="3">
        <f t="shared" si="19"/>
        <v>30.947368595312494</v>
      </c>
      <c r="V74" s="3">
        <f t="shared" si="19"/>
        <v>29.400000165546867</v>
      </c>
      <c r="W74" s="3">
        <f t="shared" si="19"/>
        <v>27.930000157269522</v>
      </c>
      <c r="X74" s="3">
        <f t="shared" si="20"/>
        <v>0</v>
      </c>
      <c r="Y74" s="3">
        <f t="shared" si="21"/>
        <v>0</v>
      </c>
      <c r="Z74" s="3">
        <f t="shared" si="22"/>
        <v>0</v>
      </c>
      <c r="AA74" s="3">
        <f t="shared" si="23"/>
        <v>0</v>
      </c>
      <c r="AB74" s="3">
        <f t="shared" si="24"/>
        <v>0</v>
      </c>
      <c r="AC74" s="3">
        <f t="shared" si="25"/>
        <v>0</v>
      </c>
      <c r="AD74" s="3">
        <f t="shared" si="26"/>
        <v>0</v>
      </c>
      <c r="AE74" s="3">
        <f t="shared" si="27"/>
        <v>0</v>
      </c>
      <c r="AF74" s="3">
        <f t="shared" si="28"/>
        <v>0</v>
      </c>
      <c r="AG74" s="3">
        <f t="shared" si="12"/>
        <v>1</v>
      </c>
      <c r="AH74" s="3">
        <f t="shared" si="29"/>
        <v>0.95</v>
      </c>
      <c r="AI74" s="3">
        <f t="shared" si="30"/>
        <v>0.90249999999999997</v>
      </c>
      <c r="AJ74" s="3">
        <f t="shared" si="31"/>
        <v>0.85737499999999989</v>
      </c>
      <c r="AK74" s="3">
        <f t="shared" si="32"/>
        <v>0.81450624999999988</v>
      </c>
      <c r="AL74" s="3">
        <f t="shared" si="33"/>
        <v>0.77378093749999988</v>
      </c>
      <c r="AM74" s="3">
        <f t="shared" si="34"/>
        <v>0.7350918906249998</v>
      </c>
      <c r="AN74" s="3">
        <f t="shared" si="35"/>
        <v>0.69833729609374973</v>
      </c>
      <c r="AO74" s="3">
        <f t="shared" si="36"/>
        <v>0.66342043128906225</v>
      </c>
    </row>
    <row r="75" spans="1:41">
      <c r="A75">
        <f t="shared" si="40"/>
        <v>31</v>
      </c>
      <c r="B75">
        <f t="shared" si="2"/>
        <v>512</v>
      </c>
      <c r="C75">
        <f t="shared" si="3"/>
        <v>0</v>
      </c>
      <c r="D75">
        <f t="shared" si="4"/>
        <v>229</v>
      </c>
      <c r="E75">
        <f t="shared" si="5"/>
        <v>7</v>
      </c>
      <c r="F75">
        <f t="shared" si="14"/>
        <v>32.714285714285715</v>
      </c>
      <c r="G75">
        <f t="shared" si="6"/>
        <v>1</v>
      </c>
      <c r="H75">
        <f t="shared" si="0"/>
        <v>1</v>
      </c>
      <c r="I75">
        <f t="shared" si="1"/>
        <v>0.5</v>
      </c>
      <c r="J75">
        <f t="shared" si="15"/>
        <v>43.100000000000016</v>
      </c>
      <c r="K75">
        <f t="shared" si="16"/>
        <v>237.10000000000002</v>
      </c>
      <c r="L75">
        <f t="shared" si="17"/>
        <v>7276875.75</v>
      </c>
      <c r="M75">
        <f t="shared" si="7"/>
        <v>229</v>
      </c>
      <c r="N75">
        <f t="shared" si="8"/>
        <v>194</v>
      </c>
      <c r="O75" s="3">
        <f t="shared" si="9"/>
        <v>42.1</v>
      </c>
      <c r="P75" s="3">
        <f t="shared" si="18"/>
        <v>39.994999999999997</v>
      </c>
      <c r="Q75" s="3">
        <f t="shared" si="18"/>
        <v>37.995249999999999</v>
      </c>
      <c r="R75" s="3">
        <f t="shared" si="18"/>
        <v>36.095487499999997</v>
      </c>
      <c r="S75" s="3">
        <f t="shared" si="18"/>
        <v>34.290713124999996</v>
      </c>
      <c r="T75" s="3">
        <f t="shared" si="19"/>
        <v>32.576177468749997</v>
      </c>
      <c r="U75" s="3">
        <f t="shared" si="19"/>
        <v>30.947368595312494</v>
      </c>
      <c r="V75" s="3">
        <f t="shared" si="19"/>
        <v>29.400000165546867</v>
      </c>
      <c r="W75" s="3">
        <f t="shared" si="19"/>
        <v>27.930000157269522</v>
      </c>
      <c r="X75" s="3">
        <f t="shared" si="20"/>
        <v>0</v>
      </c>
      <c r="Y75" s="3">
        <f t="shared" si="21"/>
        <v>0</v>
      </c>
      <c r="Z75" s="3">
        <f t="shared" si="22"/>
        <v>0</v>
      </c>
      <c r="AA75" s="3">
        <f t="shared" si="23"/>
        <v>0</v>
      </c>
      <c r="AB75" s="3">
        <f t="shared" si="24"/>
        <v>0</v>
      </c>
      <c r="AC75" s="3">
        <f t="shared" si="25"/>
        <v>0</v>
      </c>
      <c r="AD75" s="3">
        <f t="shared" si="26"/>
        <v>0</v>
      </c>
      <c r="AE75" s="3">
        <f t="shared" si="27"/>
        <v>0</v>
      </c>
      <c r="AF75" s="3">
        <f t="shared" si="28"/>
        <v>0</v>
      </c>
      <c r="AG75" s="3">
        <f t="shared" si="12"/>
        <v>1</v>
      </c>
      <c r="AH75" s="3">
        <f t="shared" si="29"/>
        <v>0.95</v>
      </c>
      <c r="AI75" s="3">
        <f t="shared" si="30"/>
        <v>0.90249999999999997</v>
      </c>
      <c r="AJ75" s="3">
        <f t="shared" si="31"/>
        <v>0.85737499999999989</v>
      </c>
      <c r="AK75" s="3">
        <f t="shared" si="32"/>
        <v>0.81450624999999988</v>
      </c>
      <c r="AL75" s="3">
        <f t="shared" si="33"/>
        <v>0.77378093749999988</v>
      </c>
      <c r="AM75" s="3">
        <f t="shared" si="34"/>
        <v>0.7350918906249998</v>
      </c>
      <c r="AN75" s="3">
        <f t="shared" si="35"/>
        <v>0.69833729609374973</v>
      </c>
      <c r="AO75" s="3">
        <f t="shared" si="36"/>
        <v>0.66342043128906225</v>
      </c>
    </row>
    <row r="76" spans="1:41">
      <c r="A76">
        <f t="shared" ref="A76:A80" si="41">A75+1</f>
        <v>32</v>
      </c>
      <c r="B76">
        <f t="shared" si="2"/>
        <v>512</v>
      </c>
      <c r="C76">
        <f t="shared" si="3"/>
        <v>0</v>
      </c>
      <c r="D76">
        <f t="shared" si="4"/>
        <v>229</v>
      </c>
      <c r="E76">
        <f t="shared" si="5"/>
        <v>7</v>
      </c>
      <c r="F76">
        <f t="shared" si="14"/>
        <v>32.714285714285715</v>
      </c>
      <c r="G76">
        <f t="shared" si="6"/>
        <v>1</v>
      </c>
      <c r="H76">
        <f t="shared" si="0"/>
        <v>1</v>
      </c>
      <c r="I76">
        <f t="shared" si="1"/>
        <v>0.5</v>
      </c>
      <c r="J76">
        <f t="shared" ref="J76:J80" si="42">SUM(O75:AO75)-SUM(P76:W76)-SUM(Y76:AF76)-SUM(AH76:AO76)</f>
        <v>43.100000000000016</v>
      </c>
      <c r="K76">
        <f t="shared" ref="K76:K80" si="43">IF(J76&gt;0,J76,0)+N76</f>
        <v>237.10000000000002</v>
      </c>
      <c r="L76">
        <f t="shared" si="17"/>
        <v>7276875.75</v>
      </c>
      <c r="M76">
        <f t="shared" si="7"/>
        <v>229</v>
      </c>
      <c r="N76">
        <f t="shared" si="8"/>
        <v>194</v>
      </c>
      <c r="O76" s="3">
        <f t="shared" si="9"/>
        <v>42.1</v>
      </c>
      <c r="P76" s="3">
        <f t="shared" si="18"/>
        <v>39.994999999999997</v>
      </c>
      <c r="Q76" s="3">
        <f t="shared" si="18"/>
        <v>37.995249999999999</v>
      </c>
      <c r="R76" s="3">
        <f t="shared" si="18"/>
        <v>36.095487499999997</v>
      </c>
      <c r="S76" s="3">
        <f t="shared" si="18"/>
        <v>34.290713124999996</v>
      </c>
      <c r="T76" s="3">
        <f t="shared" si="19"/>
        <v>32.576177468749997</v>
      </c>
      <c r="U76" s="3">
        <f t="shared" si="19"/>
        <v>30.947368595312494</v>
      </c>
      <c r="V76" s="3">
        <f t="shared" si="19"/>
        <v>29.400000165546867</v>
      </c>
      <c r="W76" s="3">
        <f t="shared" si="19"/>
        <v>27.930000157269522</v>
      </c>
      <c r="X76" s="3">
        <f t="shared" si="20"/>
        <v>0</v>
      </c>
      <c r="Y76" s="3">
        <f t="shared" si="21"/>
        <v>0</v>
      </c>
      <c r="Z76" s="3">
        <f t="shared" si="22"/>
        <v>0</v>
      </c>
      <c r="AA76" s="3">
        <f t="shared" si="23"/>
        <v>0</v>
      </c>
      <c r="AB76" s="3">
        <f t="shared" si="24"/>
        <v>0</v>
      </c>
      <c r="AC76" s="3">
        <f t="shared" si="25"/>
        <v>0</v>
      </c>
      <c r="AD76" s="3">
        <f t="shared" si="26"/>
        <v>0</v>
      </c>
      <c r="AE76" s="3">
        <f t="shared" si="27"/>
        <v>0</v>
      </c>
      <c r="AF76" s="3">
        <f t="shared" si="28"/>
        <v>0</v>
      </c>
      <c r="AG76" s="3">
        <f t="shared" si="12"/>
        <v>1</v>
      </c>
      <c r="AH76" s="3">
        <f t="shared" si="29"/>
        <v>0.95</v>
      </c>
      <c r="AI76" s="3">
        <f t="shared" si="30"/>
        <v>0.90249999999999997</v>
      </c>
      <c r="AJ76" s="3">
        <f t="shared" si="31"/>
        <v>0.85737499999999989</v>
      </c>
      <c r="AK76" s="3">
        <f t="shared" si="32"/>
        <v>0.81450624999999988</v>
      </c>
      <c r="AL76" s="3">
        <f t="shared" si="33"/>
        <v>0.77378093749999988</v>
      </c>
      <c r="AM76" s="3">
        <f t="shared" si="34"/>
        <v>0.7350918906249998</v>
      </c>
      <c r="AN76" s="3">
        <f t="shared" si="35"/>
        <v>0.69833729609374973</v>
      </c>
      <c r="AO76" s="3">
        <f t="shared" si="36"/>
        <v>0.66342043128906225</v>
      </c>
    </row>
    <row r="77" spans="1:41">
      <c r="A77">
        <f t="shared" si="41"/>
        <v>33</v>
      </c>
      <c r="B77">
        <f t="shared" si="2"/>
        <v>512</v>
      </c>
      <c r="C77">
        <f t="shared" si="3"/>
        <v>0</v>
      </c>
      <c r="D77">
        <f t="shared" si="4"/>
        <v>229</v>
      </c>
      <c r="E77">
        <f t="shared" si="5"/>
        <v>7</v>
      </c>
      <c r="F77">
        <f t="shared" si="14"/>
        <v>32.714285714285715</v>
      </c>
      <c r="G77">
        <f t="shared" si="6"/>
        <v>1</v>
      </c>
      <c r="H77">
        <f t="shared" si="0"/>
        <v>1</v>
      </c>
      <c r="I77">
        <f t="shared" si="1"/>
        <v>0.5</v>
      </c>
      <c r="J77">
        <f t="shared" si="42"/>
        <v>43.100000000000016</v>
      </c>
      <c r="K77">
        <f t="shared" si="43"/>
        <v>237.10000000000002</v>
      </c>
      <c r="L77">
        <f t="shared" si="17"/>
        <v>7276875.75</v>
      </c>
      <c r="M77">
        <f t="shared" si="7"/>
        <v>229</v>
      </c>
      <c r="N77">
        <f t="shared" si="8"/>
        <v>194</v>
      </c>
      <c r="O77" s="3">
        <f t="shared" si="9"/>
        <v>42.1</v>
      </c>
      <c r="P77" s="3">
        <f t="shared" si="18"/>
        <v>39.994999999999997</v>
      </c>
      <c r="Q77" s="3">
        <f t="shared" si="18"/>
        <v>37.995249999999999</v>
      </c>
      <c r="R77" s="3">
        <f t="shared" si="18"/>
        <v>36.095487499999997</v>
      </c>
      <c r="S77" s="3">
        <f t="shared" si="18"/>
        <v>34.290713124999996</v>
      </c>
      <c r="T77" s="3">
        <f t="shared" si="19"/>
        <v>32.576177468749997</v>
      </c>
      <c r="U77" s="3">
        <f t="shared" si="19"/>
        <v>30.947368595312494</v>
      </c>
      <c r="V77" s="3">
        <f t="shared" si="19"/>
        <v>29.400000165546867</v>
      </c>
      <c r="W77" s="3">
        <f t="shared" si="19"/>
        <v>27.930000157269522</v>
      </c>
      <c r="X77" s="3">
        <f t="shared" si="20"/>
        <v>0</v>
      </c>
      <c r="Y77" s="3">
        <f t="shared" si="21"/>
        <v>0</v>
      </c>
      <c r="Z77" s="3">
        <f t="shared" si="22"/>
        <v>0</v>
      </c>
      <c r="AA77" s="3">
        <f t="shared" si="23"/>
        <v>0</v>
      </c>
      <c r="AB77" s="3">
        <f t="shared" si="24"/>
        <v>0</v>
      </c>
      <c r="AC77" s="3">
        <f t="shared" si="25"/>
        <v>0</v>
      </c>
      <c r="AD77" s="3">
        <f t="shared" si="26"/>
        <v>0</v>
      </c>
      <c r="AE77" s="3">
        <f t="shared" si="27"/>
        <v>0</v>
      </c>
      <c r="AF77" s="3">
        <f t="shared" si="28"/>
        <v>0</v>
      </c>
      <c r="AG77" s="3">
        <f t="shared" si="12"/>
        <v>1</v>
      </c>
      <c r="AH77" s="3">
        <f t="shared" si="29"/>
        <v>0.95</v>
      </c>
      <c r="AI77" s="3">
        <f t="shared" si="30"/>
        <v>0.90249999999999997</v>
      </c>
      <c r="AJ77" s="3">
        <f t="shared" si="31"/>
        <v>0.85737499999999989</v>
      </c>
      <c r="AK77" s="3">
        <f t="shared" si="32"/>
        <v>0.81450624999999988</v>
      </c>
      <c r="AL77" s="3">
        <f t="shared" si="33"/>
        <v>0.77378093749999988</v>
      </c>
      <c r="AM77" s="3">
        <f t="shared" si="34"/>
        <v>0.7350918906249998</v>
      </c>
      <c r="AN77" s="3">
        <f t="shared" si="35"/>
        <v>0.69833729609374973</v>
      </c>
      <c r="AO77" s="3">
        <f t="shared" si="36"/>
        <v>0.66342043128906225</v>
      </c>
    </row>
    <row r="78" spans="1:41">
      <c r="A78">
        <f t="shared" si="41"/>
        <v>34</v>
      </c>
      <c r="B78">
        <f t="shared" si="2"/>
        <v>512</v>
      </c>
      <c r="C78">
        <f t="shared" si="3"/>
        <v>0</v>
      </c>
      <c r="D78">
        <f t="shared" si="4"/>
        <v>229</v>
      </c>
      <c r="E78">
        <f t="shared" si="5"/>
        <v>7</v>
      </c>
      <c r="F78">
        <f t="shared" si="14"/>
        <v>32.714285714285715</v>
      </c>
      <c r="G78">
        <f t="shared" si="6"/>
        <v>1</v>
      </c>
      <c r="H78">
        <f t="shared" si="0"/>
        <v>1</v>
      </c>
      <c r="I78">
        <f t="shared" si="1"/>
        <v>0.5</v>
      </c>
      <c r="J78">
        <f t="shared" si="42"/>
        <v>43.100000000000016</v>
      </c>
      <c r="K78">
        <f t="shared" si="43"/>
        <v>237.10000000000002</v>
      </c>
      <c r="L78">
        <f t="shared" si="17"/>
        <v>7276875.75</v>
      </c>
      <c r="M78">
        <f t="shared" si="7"/>
        <v>229</v>
      </c>
      <c r="N78">
        <f t="shared" si="8"/>
        <v>194</v>
      </c>
      <c r="O78" s="3">
        <f t="shared" si="9"/>
        <v>42.1</v>
      </c>
      <c r="P78" s="3">
        <f t="shared" si="18"/>
        <v>39.994999999999997</v>
      </c>
      <c r="Q78" s="3">
        <f t="shared" si="18"/>
        <v>37.995249999999999</v>
      </c>
      <c r="R78" s="3">
        <f t="shared" si="18"/>
        <v>36.095487499999997</v>
      </c>
      <c r="S78" s="3">
        <f t="shared" si="18"/>
        <v>34.290713124999996</v>
      </c>
      <c r="T78" s="3">
        <f t="shared" si="19"/>
        <v>32.576177468749997</v>
      </c>
      <c r="U78" s="3">
        <f t="shared" si="19"/>
        <v>30.947368595312494</v>
      </c>
      <c r="V78" s="3">
        <f t="shared" si="19"/>
        <v>29.400000165546867</v>
      </c>
      <c r="W78" s="3">
        <f t="shared" si="19"/>
        <v>27.930000157269522</v>
      </c>
      <c r="X78" s="3">
        <f t="shared" si="20"/>
        <v>0</v>
      </c>
      <c r="Y78" s="3">
        <f t="shared" si="21"/>
        <v>0</v>
      </c>
      <c r="Z78" s="3">
        <f t="shared" si="22"/>
        <v>0</v>
      </c>
      <c r="AA78" s="3">
        <f t="shared" si="23"/>
        <v>0</v>
      </c>
      <c r="AB78" s="3">
        <f t="shared" si="24"/>
        <v>0</v>
      </c>
      <c r="AC78" s="3">
        <f t="shared" si="25"/>
        <v>0</v>
      </c>
      <c r="AD78" s="3">
        <f t="shared" si="26"/>
        <v>0</v>
      </c>
      <c r="AE78" s="3">
        <f t="shared" si="27"/>
        <v>0</v>
      </c>
      <c r="AF78" s="3">
        <f t="shared" si="28"/>
        <v>0</v>
      </c>
      <c r="AG78" s="3">
        <f t="shared" si="12"/>
        <v>1</v>
      </c>
      <c r="AH78" s="3">
        <f t="shared" si="29"/>
        <v>0.95</v>
      </c>
      <c r="AI78" s="3">
        <f t="shared" si="30"/>
        <v>0.90249999999999997</v>
      </c>
      <c r="AJ78" s="3">
        <f t="shared" si="31"/>
        <v>0.85737499999999989</v>
      </c>
      <c r="AK78" s="3">
        <f t="shared" si="32"/>
        <v>0.81450624999999988</v>
      </c>
      <c r="AL78" s="3">
        <f t="shared" si="33"/>
        <v>0.77378093749999988</v>
      </c>
      <c r="AM78" s="3">
        <f t="shared" si="34"/>
        <v>0.7350918906249998</v>
      </c>
      <c r="AN78" s="3">
        <f t="shared" si="35"/>
        <v>0.69833729609374973</v>
      </c>
      <c r="AO78" s="3">
        <f t="shared" si="36"/>
        <v>0.66342043128906225</v>
      </c>
    </row>
    <row r="79" spans="1:41">
      <c r="A79">
        <f t="shared" si="41"/>
        <v>35</v>
      </c>
      <c r="B79">
        <f t="shared" si="2"/>
        <v>512</v>
      </c>
      <c r="C79">
        <f t="shared" si="3"/>
        <v>0</v>
      </c>
      <c r="D79">
        <f t="shared" si="4"/>
        <v>229</v>
      </c>
      <c r="E79">
        <f t="shared" si="5"/>
        <v>7</v>
      </c>
      <c r="F79">
        <f t="shared" si="14"/>
        <v>32.714285714285715</v>
      </c>
      <c r="G79">
        <f t="shared" si="6"/>
        <v>1</v>
      </c>
      <c r="H79">
        <f t="shared" si="0"/>
        <v>1</v>
      </c>
      <c r="I79">
        <f t="shared" si="1"/>
        <v>0.5</v>
      </c>
      <c r="J79">
        <f t="shared" si="42"/>
        <v>43.100000000000016</v>
      </c>
      <c r="K79">
        <f t="shared" si="43"/>
        <v>237.10000000000002</v>
      </c>
      <c r="L79">
        <f t="shared" si="17"/>
        <v>7276875.75</v>
      </c>
      <c r="M79">
        <f t="shared" si="7"/>
        <v>229</v>
      </c>
      <c r="N79">
        <f t="shared" si="8"/>
        <v>194</v>
      </c>
      <c r="O79" s="3">
        <f t="shared" si="9"/>
        <v>42.1</v>
      </c>
      <c r="P79" s="3">
        <f t="shared" si="18"/>
        <v>39.994999999999997</v>
      </c>
      <c r="Q79" s="3">
        <f t="shared" si="18"/>
        <v>37.995249999999999</v>
      </c>
      <c r="R79" s="3">
        <f t="shared" si="18"/>
        <v>36.095487499999997</v>
      </c>
      <c r="S79" s="3">
        <f t="shared" si="18"/>
        <v>34.290713124999996</v>
      </c>
      <c r="T79" s="3">
        <f t="shared" si="19"/>
        <v>32.576177468749997</v>
      </c>
      <c r="U79" s="3">
        <f t="shared" si="19"/>
        <v>30.947368595312494</v>
      </c>
      <c r="V79" s="3">
        <f t="shared" si="19"/>
        <v>29.400000165546867</v>
      </c>
      <c r="W79" s="3">
        <f t="shared" si="19"/>
        <v>27.930000157269522</v>
      </c>
      <c r="X79" s="3">
        <f t="shared" si="20"/>
        <v>0</v>
      </c>
      <c r="Y79" s="3">
        <f t="shared" si="21"/>
        <v>0</v>
      </c>
      <c r="Z79" s="3">
        <f t="shared" si="22"/>
        <v>0</v>
      </c>
      <c r="AA79" s="3">
        <f t="shared" si="23"/>
        <v>0</v>
      </c>
      <c r="AB79" s="3">
        <f t="shared" si="24"/>
        <v>0</v>
      </c>
      <c r="AC79" s="3">
        <f t="shared" si="25"/>
        <v>0</v>
      </c>
      <c r="AD79" s="3">
        <f t="shared" si="26"/>
        <v>0</v>
      </c>
      <c r="AE79" s="3">
        <f t="shared" si="27"/>
        <v>0</v>
      </c>
      <c r="AF79" s="3">
        <f t="shared" si="28"/>
        <v>0</v>
      </c>
      <c r="AG79" s="3">
        <f t="shared" si="12"/>
        <v>1</v>
      </c>
      <c r="AH79" s="3">
        <f t="shared" si="29"/>
        <v>0.95</v>
      </c>
      <c r="AI79" s="3">
        <f t="shared" si="30"/>
        <v>0.90249999999999997</v>
      </c>
      <c r="AJ79" s="3">
        <f t="shared" si="31"/>
        <v>0.85737499999999989</v>
      </c>
      <c r="AK79" s="3">
        <f t="shared" si="32"/>
        <v>0.81450624999999988</v>
      </c>
      <c r="AL79" s="3">
        <f t="shared" si="33"/>
        <v>0.77378093749999988</v>
      </c>
      <c r="AM79" s="3">
        <f t="shared" si="34"/>
        <v>0.7350918906249998</v>
      </c>
      <c r="AN79" s="3">
        <f t="shared" si="35"/>
        <v>0.69833729609374973</v>
      </c>
      <c r="AO79" s="3">
        <f t="shared" si="36"/>
        <v>0.66342043128906225</v>
      </c>
    </row>
    <row r="80" spans="1:41">
      <c r="A80">
        <f t="shared" si="41"/>
        <v>36</v>
      </c>
      <c r="B80">
        <f t="shared" si="2"/>
        <v>512</v>
      </c>
      <c r="C80">
        <f t="shared" si="3"/>
        <v>0</v>
      </c>
      <c r="D80">
        <f t="shared" si="4"/>
        <v>229</v>
      </c>
      <c r="E80">
        <f t="shared" si="5"/>
        <v>7</v>
      </c>
      <c r="F80">
        <f t="shared" si="14"/>
        <v>32.714285714285715</v>
      </c>
      <c r="G80">
        <f t="shared" si="6"/>
        <v>1</v>
      </c>
      <c r="H80">
        <f t="shared" si="0"/>
        <v>1</v>
      </c>
      <c r="I80">
        <f t="shared" si="1"/>
        <v>0.5</v>
      </c>
      <c r="J80">
        <f t="shared" si="42"/>
        <v>43.100000000000016</v>
      </c>
      <c r="K80">
        <f t="shared" si="43"/>
        <v>237.10000000000002</v>
      </c>
      <c r="L80">
        <f t="shared" si="17"/>
        <v>7276875.75</v>
      </c>
      <c r="M80">
        <f t="shared" si="7"/>
        <v>229</v>
      </c>
      <c r="N80">
        <f t="shared" si="8"/>
        <v>194</v>
      </c>
      <c r="O80" s="3">
        <f t="shared" si="9"/>
        <v>42.1</v>
      </c>
      <c r="P80" s="3">
        <f t="shared" si="18"/>
        <v>39.994999999999997</v>
      </c>
      <c r="Q80" s="3">
        <f t="shared" si="18"/>
        <v>37.995249999999999</v>
      </c>
      <c r="R80" s="3">
        <f t="shared" si="18"/>
        <v>36.095487499999997</v>
      </c>
      <c r="S80" s="3">
        <f t="shared" si="18"/>
        <v>34.290713124999996</v>
      </c>
      <c r="T80" s="3">
        <f t="shared" si="19"/>
        <v>32.576177468749997</v>
      </c>
      <c r="U80" s="3">
        <f t="shared" si="19"/>
        <v>30.947368595312494</v>
      </c>
      <c r="V80" s="3">
        <f t="shared" si="19"/>
        <v>29.400000165546867</v>
      </c>
      <c r="W80" s="3">
        <f t="shared" si="19"/>
        <v>27.930000157269522</v>
      </c>
      <c r="X80" s="3">
        <f t="shared" si="20"/>
        <v>0</v>
      </c>
      <c r="Y80" s="3">
        <f t="shared" si="21"/>
        <v>0</v>
      </c>
      <c r="Z80" s="3">
        <f t="shared" si="22"/>
        <v>0</v>
      </c>
      <c r="AA80" s="3">
        <f t="shared" si="23"/>
        <v>0</v>
      </c>
      <c r="AB80" s="3">
        <f t="shared" si="24"/>
        <v>0</v>
      </c>
      <c r="AC80" s="3">
        <f t="shared" si="25"/>
        <v>0</v>
      </c>
      <c r="AD80" s="3">
        <f t="shared" si="26"/>
        <v>0</v>
      </c>
      <c r="AE80" s="3">
        <f t="shared" si="27"/>
        <v>0</v>
      </c>
      <c r="AF80" s="3">
        <f t="shared" si="28"/>
        <v>0</v>
      </c>
      <c r="AG80" s="3">
        <f t="shared" si="12"/>
        <v>1</v>
      </c>
      <c r="AH80" s="3">
        <f t="shared" si="29"/>
        <v>0.95</v>
      </c>
      <c r="AI80" s="3">
        <f t="shared" si="30"/>
        <v>0.90249999999999997</v>
      </c>
      <c r="AJ80" s="3">
        <f t="shared" si="31"/>
        <v>0.85737499999999989</v>
      </c>
      <c r="AK80" s="3">
        <f t="shared" si="32"/>
        <v>0.81450624999999988</v>
      </c>
      <c r="AL80" s="3">
        <f t="shared" si="33"/>
        <v>0.77378093749999988</v>
      </c>
      <c r="AM80" s="3">
        <f t="shared" si="34"/>
        <v>0.7350918906249998</v>
      </c>
      <c r="AN80" s="3">
        <f t="shared" si="35"/>
        <v>0.69833729609374973</v>
      </c>
      <c r="AO80" s="3">
        <f t="shared" si="36"/>
        <v>0.66342043128906225</v>
      </c>
    </row>
    <row r="81" spans="6:6">
      <c r="F81">
        <f t="shared" si="14"/>
        <v>0</v>
      </c>
    </row>
  </sheetData>
  <pageMargins left="0.7" right="0.7" top="0.75" bottom="0.75" header="0.3" footer="0.3"/>
  <pageSetup orientation="portrait" horizontalDpi="0" verticalDpi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AAF59-74DD-8741-972D-AB9022076D4B}">
  <dimension ref="A1:F60"/>
  <sheetViews>
    <sheetView workbookViewId="0"/>
  </sheetViews>
  <sheetFormatPr baseColWidth="10" defaultRowHeight="16"/>
  <cols>
    <col min="1" max="1" width="29" bestFit="1" customWidth="1"/>
  </cols>
  <sheetData>
    <row r="1" spans="1:4">
      <c r="A1" t="s">
        <v>85</v>
      </c>
      <c r="B1">
        <f>Vehicle!B1</f>
        <v>2000</v>
      </c>
    </row>
    <row r="3" spans="1:4">
      <c r="A3" t="s">
        <v>191</v>
      </c>
    </row>
    <row r="5" spans="1:4">
      <c r="A5" t="s">
        <v>192</v>
      </c>
      <c r="B5">
        <f>Agriculture!D11</f>
        <v>5.2447664141414165</v>
      </c>
    </row>
    <row r="6" spans="1:4">
      <c r="A6" t="s">
        <v>196</v>
      </c>
      <c r="B6">
        <f>B5*B1+SUM(B26:D26)+B43+B59</f>
        <v>639739.52984687465</v>
      </c>
    </row>
    <row r="7" spans="1:4">
      <c r="A7" t="s">
        <v>193</v>
      </c>
      <c r="B7">
        <v>1</v>
      </c>
    </row>
    <row r="8" spans="1:4">
      <c r="A8" t="s">
        <v>194</v>
      </c>
      <c r="B8">
        <f>B6/B7</f>
        <v>639739.52984687465</v>
      </c>
    </row>
    <row r="9" spans="1:4">
      <c r="A9" t="s">
        <v>195</v>
      </c>
      <c r="B9">
        <v>2</v>
      </c>
    </row>
    <row r="10" spans="1:4">
      <c r="A10" t="s">
        <v>385</v>
      </c>
      <c r="B10">
        <f>B8*B9</f>
        <v>1279479.0596937493</v>
      </c>
    </row>
    <row r="12" spans="1:4">
      <c r="A12" t="s">
        <v>214</v>
      </c>
      <c r="B12" t="s">
        <v>220</v>
      </c>
      <c r="C12" t="s">
        <v>221</v>
      </c>
      <c r="D12" t="s">
        <v>222</v>
      </c>
    </row>
    <row r="13" spans="1:4">
      <c r="A13" t="s">
        <v>253</v>
      </c>
      <c r="B13">
        <f>Agriculture!D13*B1</f>
        <v>27272.727272727268</v>
      </c>
    </row>
    <row r="14" spans="1:4">
      <c r="A14" t="s">
        <v>226</v>
      </c>
      <c r="B14">
        <v>0.1</v>
      </c>
    </row>
    <row r="15" spans="1:4">
      <c r="A15" t="s">
        <v>215</v>
      </c>
      <c r="B15">
        <f>B16/B1</f>
        <v>3.4090909090909087</v>
      </c>
      <c r="C15">
        <f>C16/B1</f>
        <v>10.227272727272727</v>
      </c>
      <c r="D15">
        <f>D16/B1</f>
        <v>0.68181818181818177</v>
      </c>
    </row>
    <row r="16" spans="1:4">
      <c r="A16" t="s">
        <v>216</v>
      </c>
      <c r="B16">
        <f>B13*0.25</f>
        <v>6818.1818181818171</v>
      </c>
      <c r="C16">
        <f>B13*0.75</f>
        <v>20454.545454545452</v>
      </c>
      <c r="D16">
        <f>B13*0.05</f>
        <v>1363.6363636363635</v>
      </c>
    </row>
    <row r="17" spans="1:6">
      <c r="A17" t="s">
        <v>217</v>
      </c>
      <c r="B17">
        <v>0.66</v>
      </c>
      <c r="C17">
        <v>0.66</v>
      </c>
      <c r="D17">
        <v>0.66</v>
      </c>
    </row>
    <row r="18" spans="1:6">
      <c r="A18" t="s">
        <v>218</v>
      </c>
      <c r="B18">
        <f>B16/B17</f>
        <v>10330.578512396693</v>
      </c>
      <c r="C18">
        <f>C16/C17</f>
        <v>30991.735537190078</v>
      </c>
      <c r="D18">
        <f>D16/D17</f>
        <v>2066.1157024793388</v>
      </c>
    </row>
    <row r="19" spans="1:6">
      <c r="A19" t="s">
        <v>268</v>
      </c>
      <c r="B19">
        <f>B18/2</f>
        <v>5165.2892561983463</v>
      </c>
      <c r="C19">
        <f>C18/6</f>
        <v>5165.2892561983463</v>
      </c>
      <c r="D19">
        <f>D18/4</f>
        <v>516.52892561983469</v>
      </c>
    </row>
    <row r="20" spans="1:6">
      <c r="A20" t="s">
        <v>388</v>
      </c>
      <c r="B20">
        <f>SUM(B19:D19)</f>
        <v>10847.107438016526</v>
      </c>
    </row>
    <row r="21" spans="1:6">
      <c r="A21" t="s">
        <v>269</v>
      </c>
      <c r="B21">
        <v>0.27100000000000002</v>
      </c>
      <c r="C21" t="s">
        <v>14</v>
      </c>
    </row>
    <row r="22" spans="1:6">
      <c r="A22" t="s">
        <v>267</v>
      </c>
      <c r="B22">
        <f>SUM(B19:D19)*B21*11</f>
        <v>32335.227272727265</v>
      </c>
    </row>
    <row r="23" spans="1:6">
      <c r="A23" t="s">
        <v>224</v>
      </c>
      <c r="B23">
        <f>B24*0.25</f>
        <v>0.55555555555555558</v>
      </c>
      <c r="C23">
        <f t="shared" ref="C23:D23" si="0">C24*0.25</f>
        <v>1.4583333333333333</v>
      </c>
      <c r="D23">
        <f t="shared" si="0"/>
        <v>1.4583333333333333</v>
      </c>
      <c r="F23" t="s">
        <v>219</v>
      </c>
    </row>
    <row r="24" spans="1:6">
      <c r="A24" t="s">
        <v>195</v>
      </c>
      <c r="B24">
        <f>(1+1.5+1.5)/1.8</f>
        <v>2.2222222222222223</v>
      </c>
      <c r="C24">
        <f>(1+5+4.5)/1.8</f>
        <v>5.833333333333333</v>
      </c>
      <c r="D24">
        <f>(1+5+4.5)/1.8</f>
        <v>5.833333333333333</v>
      </c>
    </row>
    <row r="25" spans="1:6">
      <c r="A25" t="s">
        <v>223</v>
      </c>
      <c r="B25">
        <f>B18*B24</f>
        <v>22956.841138659318</v>
      </c>
      <c r="C25">
        <f>C18*C24</f>
        <v>180785.1239669421</v>
      </c>
      <c r="D25">
        <f>D18*D24</f>
        <v>12052.341597796143</v>
      </c>
    </row>
    <row r="26" spans="1:6">
      <c r="A26" t="s">
        <v>225</v>
      </c>
      <c r="B26">
        <f>B25*$B$14</f>
        <v>2295.684113865932</v>
      </c>
      <c r="C26">
        <f t="shared" ref="C26:D26" si="1">C25*$B$14</f>
        <v>18078.512396694212</v>
      </c>
      <c r="D26">
        <f t="shared" si="1"/>
        <v>1205.2341597796144</v>
      </c>
    </row>
    <row r="27" spans="1:6">
      <c r="A27" t="s">
        <v>385</v>
      </c>
      <c r="B27">
        <f>SUM(B25:D25)-SUM(B26:D26)</f>
        <v>194214.87603305781</v>
      </c>
    </row>
    <row r="29" spans="1:6">
      <c r="A29" t="s">
        <v>245</v>
      </c>
      <c r="B29" t="s">
        <v>252</v>
      </c>
    </row>
    <row r="31" spans="1:6">
      <c r="A31" t="s">
        <v>253</v>
      </c>
      <c r="B31">
        <f>Agriculture!D14*B1</f>
        <v>9090.9090909090901</v>
      </c>
    </row>
    <row r="32" spans="1:6">
      <c r="A32" t="s">
        <v>217</v>
      </c>
      <c r="B32">
        <v>0.75</v>
      </c>
    </row>
    <row r="33" spans="1:4">
      <c r="A33" t="s">
        <v>218</v>
      </c>
      <c r="B33">
        <f>B31/B32</f>
        <v>12121.21212121212</v>
      </c>
    </row>
    <row r="34" spans="1:4">
      <c r="A34" t="s">
        <v>254</v>
      </c>
      <c r="B34">
        <v>105</v>
      </c>
    </row>
    <row r="35" spans="1:4">
      <c r="A35" t="s">
        <v>255</v>
      </c>
      <c r="B35">
        <f>B33/B34</f>
        <v>115.44011544011543</v>
      </c>
    </row>
    <row r="36" spans="1:4">
      <c r="A36" t="s">
        <v>266</v>
      </c>
      <c r="B36">
        <v>4</v>
      </c>
    </row>
    <row r="37" spans="1:4">
      <c r="A37" t="s">
        <v>267</v>
      </c>
      <c r="B37">
        <f>B35*B36*11</f>
        <v>5079.3650793650795</v>
      </c>
    </row>
    <row r="38" spans="1:4">
      <c r="A38" t="s">
        <v>224</v>
      </c>
      <c r="B38">
        <f>B39*0.25</f>
        <v>0.81168831168831168</v>
      </c>
    </row>
    <row r="39" spans="1:4">
      <c r="A39" t="s">
        <v>195</v>
      </c>
      <c r="B39">
        <f>B41/B33</f>
        <v>3.2467532467532467</v>
      </c>
    </row>
    <row r="40" spans="1:4">
      <c r="A40" t="s">
        <v>256</v>
      </c>
      <c r="B40">
        <f>750/2.2</f>
        <v>340.90909090909088</v>
      </c>
      <c r="C40" t="s">
        <v>258</v>
      </c>
      <c r="D40" t="s">
        <v>257</v>
      </c>
    </row>
    <row r="41" spans="1:4">
      <c r="A41" t="s">
        <v>223</v>
      </c>
      <c r="B41">
        <f>B40*B35</f>
        <v>39354.584809130261</v>
      </c>
    </row>
    <row r="42" spans="1:4">
      <c r="A42" t="s">
        <v>264</v>
      </c>
      <c r="C42">
        <v>0</v>
      </c>
    </row>
    <row r="43" spans="1:4">
      <c r="A43" t="s">
        <v>225</v>
      </c>
      <c r="B43">
        <f>(B41-C42)*B14</f>
        <v>3935.4584809130265</v>
      </c>
    </row>
    <row r="44" spans="1:4">
      <c r="A44" t="s">
        <v>385</v>
      </c>
      <c r="B44">
        <f>B41-C42</f>
        <v>39354.584809130261</v>
      </c>
    </row>
    <row r="46" spans="1:4">
      <c r="A46" t="s">
        <v>513</v>
      </c>
    </row>
    <row r="48" spans="1:4">
      <c r="A48" t="s">
        <v>253</v>
      </c>
      <c r="B48">
        <f>Agriculture!D15*B18</f>
        <v>185950.41322314047</v>
      </c>
      <c r="D48" t="s">
        <v>514</v>
      </c>
    </row>
    <row r="49" spans="1:3">
      <c r="A49" t="s">
        <v>217</v>
      </c>
      <c r="B49">
        <v>0.75</v>
      </c>
    </row>
    <row r="50" spans="1:3">
      <c r="A50" t="s">
        <v>218</v>
      </c>
      <c r="B50">
        <f>B48/B49</f>
        <v>247933.88429752062</v>
      </c>
    </row>
    <row r="51" spans="1:3">
      <c r="A51" t="s">
        <v>254</v>
      </c>
      <c r="B51">
        <v>105</v>
      </c>
    </row>
    <row r="52" spans="1:3">
      <c r="A52" t="s">
        <v>255</v>
      </c>
      <c r="B52">
        <f>B50/B51</f>
        <v>2361.2750885478154</v>
      </c>
    </row>
    <row r="53" spans="1:3">
      <c r="A53" t="s">
        <v>266</v>
      </c>
      <c r="B53">
        <v>4</v>
      </c>
    </row>
    <row r="54" spans="1:3">
      <c r="A54" t="s">
        <v>267</v>
      </c>
      <c r="B54">
        <f>B52*B53*11</f>
        <v>103896.10389610387</v>
      </c>
    </row>
    <row r="55" spans="1:3">
      <c r="A55" t="s">
        <v>224</v>
      </c>
      <c r="B55">
        <f>B56*0.25</f>
        <v>0.81168831168831157</v>
      </c>
    </row>
    <row r="56" spans="1:3">
      <c r="A56" t="s">
        <v>195</v>
      </c>
      <c r="B56">
        <f>B58/B50</f>
        <v>3.2467532467532463</v>
      </c>
    </row>
    <row r="57" spans="1:3">
      <c r="A57" t="s">
        <v>256</v>
      </c>
      <c r="B57">
        <f>750/2.2</f>
        <v>340.90909090909088</v>
      </c>
      <c r="C57" t="s">
        <v>515</v>
      </c>
    </row>
    <row r="58" spans="1:3">
      <c r="A58" t="s">
        <v>223</v>
      </c>
      <c r="B58">
        <f>B57*B52</f>
        <v>804980.14382311876</v>
      </c>
    </row>
    <row r="59" spans="1:3">
      <c r="A59" t="s">
        <v>225</v>
      </c>
      <c r="B59">
        <f>B58*0.75</f>
        <v>603735.10786733904</v>
      </c>
    </row>
    <row r="60" spans="1:3">
      <c r="A60" t="s">
        <v>385</v>
      </c>
      <c r="B60">
        <f>B58-B59</f>
        <v>201245.03595577972</v>
      </c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A3D7E-273C-214E-B78D-C6E8AD42F852}">
  <dimension ref="A1:L69"/>
  <sheetViews>
    <sheetView workbookViewId="0">
      <selection activeCell="D8" sqref="D8"/>
    </sheetView>
  </sheetViews>
  <sheetFormatPr baseColWidth="10" defaultRowHeight="16"/>
  <cols>
    <col min="1" max="1" width="16" customWidth="1"/>
    <col min="2" max="2" width="25" customWidth="1"/>
    <col min="3" max="3" width="14.33203125" customWidth="1"/>
    <col min="4" max="4" width="17.1640625" bestFit="1" customWidth="1"/>
    <col min="5" max="5" width="13" customWidth="1"/>
  </cols>
  <sheetData>
    <row r="1" spans="1:12">
      <c r="A1" t="s">
        <v>767</v>
      </c>
      <c r="K1" s="3"/>
    </row>
    <row r="2" spans="1:12">
      <c r="B2" s="48" t="s">
        <v>892</v>
      </c>
      <c r="C2" s="135">
        <f>E2*C36/(24*3600)</f>
        <v>1298592.6276041667</v>
      </c>
      <c r="D2" s="63" t="s">
        <v>729</v>
      </c>
      <c r="E2" s="132">
        <v>0.75</v>
      </c>
      <c r="F2" s="45" t="s">
        <v>754</v>
      </c>
    </row>
    <row r="3" spans="1:12">
      <c r="B3" s="48" t="s">
        <v>922</v>
      </c>
      <c r="C3" s="135">
        <f>C8*LN(C5/C6)</f>
        <v>1580278.9367704384</v>
      </c>
      <c r="D3" s="63"/>
      <c r="E3" s="132"/>
      <c r="F3" s="45"/>
    </row>
    <row r="4" spans="1:12">
      <c r="B4" t="s">
        <v>38</v>
      </c>
      <c r="C4" s="2">
        <f>C5*E4</f>
        <v>72610000000</v>
      </c>
      <c r="D4" t="s">
        <v>890</v>
      </c>
      <c r="E4">
        <v>1</v>
      </c>
      <c r="F4" t="s">
        <v>3</v>
      </c>
      <c r="G4" s="134">
        <f>(2*C16*C19)/C8</f>
        <v>72610000000</v>
      </c>
      <c r="H4" t="s">
        <v>927</v>
      </c>
      <c r="K4" s="131"/>
    </row>
    <row r="5" spans="1:12">
      <c r="B5" t="s">
        <v>923</v>
      </c>
      <c r="C5" s="2">
        <f>Vehicle!B10</f>
        <v>72610000000</v>
      </c>
      <c r="G5" s="3"/>
      <c r="K5" s="131"/>
    </row>
    <row r="6" spans="1:12">
      <c r="B6" t="s">
        <v>42</v>
      </c>
      <c r="C6" s="2">
        <f>Vehicle!B11</f>
        <v>64510000000</v>
      </c>
    </row>
    <row r="7" spans="1:12">
      <c r="B7" t="s">
        <v>811</v>
      </c>
      <c r="C7" s="4">
        <f>C4/C8</f>
        <v>5434.7907011566176</v>
      </c>
      <c r="D7" t="s">
        <v>203</v>
      </c>
      <c r="E7" s="2">
        <f>C7/C14</f>
        <v>3.374404750398202</v>
      </c>
      <c r="G7" s="2"/>
    </row>
    <row r="8" spans="1:12">
      <c r="B8" t="s">
        <v>800</v>
      </c>
      <c r="C8" s="2">
        <f>C13*C21</f>
        <v>13360220.106461015</v>
      </c>
      <c r="E8" s="3">
        <f>C8/1000</f>
        <v>13360.220106461014</v>
      </c>
      <c r="G8" s="2">
        <f>3100000</f>
        <v>3100000</v>
      </c>
      <c r="I8" s="2"/>
      <c r="J8" s="2"/>
    </row>
    <row r="9" spans="1:12">
      <c r="B9" t="s">
        <v>768</v>
      </c>
      <c r="C9" s="2">
        <f>C8/9.8</f>
        <v>1363287.7659654096</v>
      </c>
      <c r="D9" t="s">
        <v>4</v>
      </c>
      <c r="K9" s="130"/>
      <c r="L9" s="130"/>
    </row>
    <row r="10" spans="1:12">
      <c r="A10" t="s">
        <v>891</v>
      </c>
      <c r="H10" t="s">
        <v>34</v>
      </c>
    </row>
    <row r="11" spans="1:12">
      <c r="B11" t="s">
        <v>811</v>
      </c>
      <c r="C11" s="4">
        <f>C7-C14</f>
        <v>3824.1982846673754</v>
      </c>
      <c r="D11" t="s">
        <v>203</v>
      </c>
    </row>
    <row r="12" spans="1:12">
      <c r="A12" t="s">
        <v>872</v>
      </c>
      <c r="C12" s="2"/>
      <c r="K12" s="130"/>
      <c r="L12" s="130"/>
    </row>
    <row r="13" spans="1:12">
      <c r="B13" t="s">
        <v>926</v>
      </c>
      <c r="C13" s="2">
        <f>G49</f>
        <v>26720440.212922029</v>
      </c>
      <c r="K13" s="130"/>
      <c r="L13" s="130"/>
    </row>
    <row r="14" spans="1:12">
      <c r="B14" t="s">
        <v>905</v>
      </c>
      <c r="C14" s="3">
        <f>C16/C20/C49</f>
        <v>1610.5924164892419</v>
      </c>
      <c r="D14" t="s">
        <v>203</v>
      </c>
      <c r="E14" s="3"/>
      <c r="G14" s="2"/>
    </row>
    <row r="15" spans="1:12">
      <c r="B15" t="s">
        <v>928</v>
      </c>
      <c r="C15" s="2">
        <f>C14/C7</f>
        <v>0.29634856336721116</v>
      </c>
      <c r="D15" t="s">
        <v>859</v>
      </c>
      <c r="E15" s="3"/>
      <c r="G15" s="2"/>
    </row>
    <row r="16" spans="1:12">
      <c r="B16" t="s">
        <v>906</v>
      </c>
      <c r="C16" s="2">
        <f>(C4*C8/C19)/2</f>
        <v>4.8994221309602739E+17</v>
      </c>
      <c r="D16" t="s">
        <v>673</v>
      </c>
      <c r="E16" s="2">
        <f>C16/1000000000</f>
        <v>489942213.09602737</v>
      </c>
      <c r="F16" t="s">
        <v>924</v>
      </c>
      <c r="G16" s="2">
        <f>C5/C16</f>
        <v>1.4820115119529134E-7</v>
      </c>
    </row>
    <row r="17" spans="1:11">
      <c r="C17" s="2"/>
      <c r="G17" s="2"/>
    </row>
    <row r="18" spans="1:11">
      <c r="A18" t="s">
        <v>123</v>
      </c>
      <c r="H18" t="s">
        <v>798</v>
      </c>
      <c r="I18" t="s">
        <v>799</v>
      </c>
      <c r="K18" s="131"/>
    </row>
    <row r="19" spans="1:11">
      <c r="B19" t="s">
        <v>899</v>
      </c>
      <c r="C19">
        <v>0.99</v>
      </c>
      <c r="D19">
        <v>1.7</v>
      </c>
      <c r="H19" t="s">
        <v>901</v>
      </c>
      <c r="K19" s="131"/>
    </row>
    <row r="20" spans="1:11">
      <c r="B20" t="s">
        <v>897</v>
      </c>
      <c r="C20">
        <v>0.9</v>
      </c>
      <c r="K20" s="131"/>
    </row>
    <row r="21" spans="1:11">
      <c r="B21" t="s">
        <v>925</v>
      </c>
      <c r="C21">
        <v>0.5</v>
      </c>
      <c r="H21" s="2"/>
    </row>
    <row r="22" spans="1:11">
      <c r="B22" t="s">
        <v>853</v>
      </c>
      <c r="C22" s="2">
        <f>C7/1000*Structure!B3*E22</f>
        <v>9757.959593006688</v>
      </c>
      <c r="D22" t="s">
        <v>34</v>
      </c>
      <c r="E22">
        <v>10</v>
      </c>
      <c r="F22" t="s">
        <v>854</v>
      </c>
    </row>
    <row r="23" spans="1:11">
      <c r="C23" s="2"/>
      <c r="E23" s="3"/>
      <c r="G23" s="2"/>
    </row>
    <row r="24" spans="1:11">
      <c r="A24" t="s">
        <v>140</v>
      </c>
    </row>
    <row r="25" spans="1:11">
      <c r="B25" t="s">
        <v>782</v>
      </c>
      <c r="C25" s="2">
        <v>5.0520903105145081E-11</v>
      </c>
      <c r="D25" t="s">
        <v>138</v>
      </c>
      <c r="E25" s="2"/>
    </row>
    <row r="26" spans="1:11">
      <c r="B26" t="s">
        <v>855</v>
      </c>
      <c r="C26" s="2">
        <f>(G31)*3.6</f>
        <v>204014645312.022</v>
      </c>
      <c r="D26" t="s">
        <v>136</v>
      </c>
    </row>
    <row r="27" spans="1:11">
      <c r="B27" t="s">
        <v>856</v>
      </c>
      <c r="C27" s="2">
        <f>C26/E27</f>
        <v>2040146453.1202199</v>
      </c>
      <c r="D27" t="s">
        <v>34</v>
      </c>
      <c r="E27">
        <v>100</v>
      </c>
      <c r="F27" t="s">
        <v>854</v>
      </c>
    </row>
    <row r="28" spans="1:11">
      <c r="B28" t="s">
        <v>857</v>
      </c>
      <c r="C28" s="2">
        <f>C27/7000</f>
        <v>291449.49330288859</v>
      </c>
      <c r="D28" t="s">
        <v>14</v>
      </c>
      <c r="G28" s="2"/>
      <c r="I28" s="2"/>
    </row>
    <row r="29" spans="1:11">
      <c r="B29" t="s">
        <v>858</v>
      </c>
      <c r="C29" s="4">
        <f>POWER(C28*3/(4*PI()),1/3)</f>
        <v>41.12995475572626</v>
      </c>
      <c r="D29" t="s">
        <v>2</v>
      </c>
      <c r="G29" s="2"/>
    </row>
    <row r="30" spans="1:11">
      <c r="B30" t="s">
        <v>781</v>
      </c>
      <c r="C30" s="2">
        <f>C14</f>
        <v>1610.5924164892419</v>
      </c>
      <c r="D30" t="s">
        <v>203</v>
      </c>
      <c r="E30" s="2">
        <f>G30/1000*3600</f>
        <v>1095120000000000</v>
      </c>
      <c r="F30" t="s">
        <v>821</v>
      </c>
      <c r="G30" s="2">
        <f>C16/C14</f>
        <v>304200000000000</v>
      </c>
      <c r="H30" t="s">
        <v>860</v>
      </c>
    </row>
    <row r="31" spans="1:11">
      <c r="B31" t="s">
        <v>780</v>
      </c>
      <c r="C31" s="2">
        <f>E31/(24*3600)</f>
        <v>3.3137230349277275E-5</v>
      </c>
      <c r="D31" t="s">
        <v>203</v>
      </c>
      <c r="E31" s="2">
        <f>G31*C25</f>
        <v>2.8630567021775568</v>
      </c>
      <c r="F31" t="s">
        <v>726</v>
      </c>
      <c r="G31" s="2">
        <f>'Power Consumption'!C35</f>
        <v>56670734808.894997</v>
      </c>
      <c r="H31" t="s">
        <v>181</v>
      </c>
    </row>
    <row r="33" spans="1:8">
      <c r="B33" s="2" t="s">
        <v>861</v>
      </c>
    </row>
    <row r="35" spans="1:8">
      <c r="A35" t="s">
        <v>623</v>
      </c>
    </row>
    <row r="36" spans="1:8">
      <c r="B36" t="s">
        <v>737</v>
      </c>
      <c r="C36">
        <v>149597870700</v>
      </c>
    </row>
    <row r="37" spans="1:8">
      <c r="B37" t="s">
        <v>888</v>
      </c>
      <c r="C37" s="2">
        <v>6.0221407599999999E+23</v>
      </c>
      <c r="E37" s="3"/>
      <c r="G37" s="2"/>
    </row>
    <row r="38" spans="1:8">
      <c r="B38" t="s">
        <v>886</v>
      </c>
      <c r="C38" s="2">
        <v>1.38E-16</v>
      </c>
      <c r="D38" t="s">
        <v>887</v>
      </c>
      <c r="E38" s="3"/>
      <c r="G38" s="2"/>
    </row>
    <row r="39" spans="1:8">
      <c r="B39" t="s">
        <v>898</v>
      </c>
      <c r="C39" s="2">
        <v>18</v>
      </c>
      <c r="E39" s="2">
        <f>C39/C37</f>
        <v>2.988970320912924E-23</v>
      </c>
      <c r="F39" t="s">
        <v>889</v>
      </c>
      <c r="G39" s="2"/>
    </row>
    <row r="40" spans="1:8">
      <c r="B40" t="s">
        <v>920</v>
      </c>
      <c r="C40" s="2">
        <v>299792458</v>
      </c>
      <c r="D40" t="s">
        <v>729</v>
      </c>
      <c r="E40" s="2"/>
      <c r="G40" s="2"/>
    </row>
    <row r="41" spans="1:8">
      <c r="B41" t="s">
        <v>921</v>
      </c>
      <c r="C41" s="36">
        <v>0.62749999999999995</v>
      </c>
      <c r="E41" s="2"/>
      <c r="G41" s="2"/>
    </row>
    <row r="43" spans="1:8">
      <c r="A43" t="s">
        <v>874</v>
      </c>
    </row>
    <row r="44" spans="1:8">
      <c r="D44" t="s">
        <v>895</v>
      </c>
      <c r="E44" t="s">
        <v>896</v>
      </c>
    </row>
    <row r="45" spans="1:8">
      <c r="A45" t="s">
        <v>893</v>
      </c>
    </row>
    <row r="46" spans="1:8">
      <c r="A46" t="s">
        <v>873</v>
      </c>
      <c r="B46">
        <v>1000000000000</v>
      </c>
      <c r="C46" t="s">
        <v>881</v>
      </c>
      <c r="D46" t="s">
        <v>914</v>
      </c>
      <c r="E46" t="s">
        <v>915</v>
      </c>
      <c r="F46" t="s">
        <v>911</v>
      </c>
      <c r="G46" t="s">
        <v>910</v>
      </c>
    </row>
    <row r="47" spans="1:8">
      <c r="A47" t="s">
        <v>900</v>
      </c>
      <c r="B47" t="s">
        <v>904</v>
      </c>
      <c r="C47" s="2">
        <v>345000000000000</v>
      </c>
      <c r="D47">
        <f>C65*2</f>
        <v>4.0282035562200003</v>
      </c>
      <c r="E47">
        <f>C66+C60</f>
        <v>4.0233256666215294</v>
      </c>
      <c r="F47">
        <f>(D47-E47)/D47</f>
        <v>1.2109342366621212E-3</v>
      </c>
      <c r="G47" s="2">
        <f>SQRT(2*F47)*$C$40</f>
        <v>14753531.21330481</v>
      </c>
      <c r="H47" t="s">
        <v>901</v>
      </c>
    </row>
    <row r="48" spans="1:8">
      <c r="C48" s="2"/>
      <c r="D48">
        <f>C65*2</f>
        <v>4.0282035562200003</v>
      </c>
      <c r="E48">
        <f>C69+C61</f>
        <v>4.0246942158848995</v>
      </c>
      <c r="F48">
        <f>(D48-E48)/D48</f>
        <v>8.7119240279750392E-4</v>
      </c>
      <c r="G48" s="2">
        <f t="shared" ref="G48:G50" si="0">SQRT(2*F48)*$C$40</f>
        <v>12513901.739189327</v>
      </c>
    </row>
    <row r="49" spans="1:8">
      <c r="A49" t="s">
        <v>902</v>
      </c>
      <c r="B49" t="s">
        <v>876</v>
      </c>
      <c r="C49" s="2">
        <v>338000000000000</v>
      </c>
      <c r="D49">
        <f>C65+C66</f>
        <v>5.03015097811</v>
      </c>
      <c r="E49">
        <f>C61+C68</f>
        <v>5.0101709158848999</v>
      </c>
      <c r="F49">
        <f>(D49-E49)/D49</f>
        <v>3.9720601453213768E-3</v>
      </c>
      <c r="G49" s="2">
        <f t="shared" si="0"/>
        <v>26720440.212922029</v>
      </c>
      <c r="H49" t="s">
        <v>901</v>
      </c>
    </row>
    <row r="50" spans="1:8">
      <c r="A50" t="s">
        <v>903</v>
      </c>
      <c r="B50" t="s">
        <v>875</v>
      </c>
      <c r="C50" s="2">
        <v>352000000000000</v>
      </c>
      <c r="D50">
        <f>C65+C69</f>
        <v>5.0301310781100002</v>
      </c>
      <c r="E50">
        <f>C68+C60</f>
        <v>5.0087824666215299</v>
      </c>
      <c r="F50">
        <f>(D50-E50)/D50</f>
        <v>4.2441461578157647E-3</v>
      </c>
      <c r="G50" s="2">
        <f t="shared" si="0"/>
        <v>27620457.41349294</v>
      </c>
      <c r="H50" t="s">
        <v>901</v>
      </c>
    </row>
    <row r="51" spans="1:8">
      <c r="A51" t="s">
        <v>894</v>
      </c>
    </row>
    <row r="52" spans="1:8">
      <c r="A52" t="s">
        <v>877</v>
      </c>
      <c r="B52" t="s">
        <v>878</v>
      </c>
    </row>
    <row r="53" spans="1:8">
      <c r="A53" t="s">
        <v>879</v>
      </c>
      <c r="B53" t="s">
        <v>880</v>
      </c>
    </row>
    <row r="55" spans="1:8">
      <c r="A55" t="s">
        <v>882</v>
      </c>
    </row>
    <row r="56" spans="1:8">
      <c r="B56" t="s">
        <v>883</v>
      </c>
      <c r="C56">
        <v>1</v>
      </c>
    </row>
    <row r="57" spans="1:8">
      <c r="B57" t="s">
        <v>884</v>
      </c>
      <c r="C57">
        <v>2</v>
      </c>
    </row>
    <row r="58" spans="1:8">
      <c r="B58" t="s">
        <v>885</v>
      </c>
      <c r="C58">
        <v>18</v>
      </c>
    </row>
    <row r="60" spans="1:8">
      <c r="A60" t="s">
        <v>917</v>
      </c>
      <c r="B60" t="s">
        <v>909</v>
      </c>
      <c r="C60">
        <v>1.0072764666215299</v>
      </c>
    </row>
    <row r="61" spans="1:8">
      <c r="A61" t="s">
        <v>912</v>
      </c>
      <c r="B61" t="s">
        <v>909</v>
      </c>
      <c r="C61">
        <v>1.0086649158848999</v>
      </c>
    </row>
    <row r="62" spans="1:8">
      <c r="A62" t="s">
        <v>918</v>
      </c>
      <c r="B62" t="s">
        <v>909</v>
      </c>
      <c r="C62">
        <f>C60/1836</f>
        <v>5.4862552648231473E-4</v>
      </c>
    </row>
    <row r="64" spans="1:8">
      <c r="A64" t="s">
        <v>916</v>
      </c>
      <c r="B64" t="s">
        <v>909</v>
      </c>
      <c r="C64">
        <f>C60+C62</f>
        <v>1.0078250921480123</v>
      </c>
    </row>
    <row r="65" spans="1:4">
      <c r="A65" t="s">
        <v>907</v>
      </c>
      <c r="B65" t="s">
        <v>909</v>
      </c>
      <c r="C65">
        <v>2.0141017781100001</v>
      </c>
      <c r="D65">
        <f>C60+C61+C62</f>
        <v>2.0164900080329122</v>
      </c>
    </row>
    <row r="66" spans="1:4">
      <c r="A66" t="s">
        <v>908</v>
      </c>
      <c r="B66" t="s">
        <v>909</v>
      </c>
      <c r="C66">
        <v>3.0160491999999999</v>
      </c>
      <c r="D66">
        <f>C60+2*C61+C62</f>
        <v>3.0251549239178122</v>
      </c>
    </row>
    <row r="68" spans="1:4">
      <c r="A68" t="s">
        <v>913</v>
      </c>
      <c r="B68" t="s">
        <v>909</v>
      </c>
      <c r="C68">
        <v>4.001506</v>
      </c>
    </row>
    <row r="69" spans="1:4">
      <c r="A69" t="s">
        <v>919</v>
      </c>
      <c r="B69" t="s">
        <v>909</v>
      </c>
      <c r="C69">
        <v>3.0160293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32E50-A098-4B4B-8CF0-E5F9FD68F8A3}">
  <dimension ref="A1:M132"/>
  <sheetViews>
    <sheetView zoomScale="101" workbookViewId="0">
      <selection activeCell="E18" sqref="E18"/>
    </sheetView>
  </sheetViews>
  <sheetFormatPr baseColWidth="10" defaultRowHeight="16"/>
  <cols>
    <col min="3" max="3" width="12.1640625" bestFit="1" customWidth="1"/>
    <col min="4" max="4" width="16.5" bestFit="1" customWidth="1"/>
    <col min="5" max="5" width="17.6640625" bestFit="1" customWidth="1"/>
    <col min="6" max="6" width="17.5" bestFit="1" customWidth="1"/>
    <col min="7" max="7" width="21.83203125" bestFit="1" customWidth="1"/>
    <col min="8" max="8" width="12.83203125" bestFit="1" customWidth="1"/>
    <col min="9" max="9" width="12.1640625" bestFit="1" customWidth="1"/>
    <col min="10" max="10" width="12.1640625" customWidth="1"/>
    <col min="11" max="11" width="12.1640625" bestFit="1" customWidth="1"/>
    <col min="12" max="12" width="12.1640625" customWidth="1"/>
  </cols>
  <sheetData>
    <row r="1" spans="1:13">
      <c r="A1" t="s">
        <v>930</v>
      </c>
    </row>
    <row r="2" spans="1:13">
      <c r="A2" t="s">
        <v>869</v>
      </c>
      <c r="C2" s="2">
        <f>SUM(D6:D7)</f>
        <v>9740254511.2195854</v>
      </c>
    </row>
    <row r="3" spans="1:13">
      <c r="A3" t="s">
        <v>870</v>
      </c>
      <c r="C3" s="2">
        <f>SUM(E6:E7)</f>
        <v>4102187931.3483024</v>
      </c>
    </row>
    <row r="4" spans="1:13">
      <c r="A4" t="s">
        <v>862</v>
      </c>
    </row>
    <row r="5" spans="1:13">
      <c r="A5" t="s">
        <v>863</v>
      </c>
      <c r="B5" t="s">
        <v>864</v>
      </c>
      <c r="C5" t="s">
        <v>865</v>
      </c>
      <c r="D5" t="s">
        <v>866</v>
      </c>
      <c r="E5" t="s">
        <v>867</v>
      </c>
      <c r="F5" t="s">
        <v>852</v>
      </c>
      <c r="G5" t="s">
        <v>771</v>
      </c>
      <c r="H5" t="s">
        <v>9</v>
      </c>
      <c r="I5" t="s">
        <v>868</v>
      </c>
    </row>
    <row r="6" spans="1:13">
      <c r="A6">
        <v>1</v>
      </c>
      <c r="B6" s="2">
        <f>EXP(F6/Performance!$C$8)*C6</f>
        <v>78352442442.567886</v>
      </c>
      <c r="C6" s="2">
        <f>B7</f>
        <v>71095119818.241074</v>
      </c>
      <c r="D6" s="2">
        <f>B6-C6-E6</f>
        <v>5106625490.7152033</v>
      </c>
      <c r="E6" s="2">
        <f>(B6-C6)*Performance!$C$15</f>
        <v>2150697133.6116095</v>
      </c>
      <c r="F6" s="2">
        <f>Performance!$C$2</f>
        <v>1298592.6276041667</v>
      </c>
      <c r="G6" s="2">
        <f>(Performance!$C$8*B6/Performance!$C$7)*(1-(1+F6/Performance!$C$8)*EXP(-F6/Performance!$C$8))</f>
        <v>852991300845.52612</v>
      </c>
      <c r="H6" s="2">
        <f>D6/Performance!$C$7</f>
        <v>939617.69118881156</v>
      </c>
      <c r="I6" s="3">
        <f>F6*3600*24/Performance!$C$36</f>
        <v>0.75</v>
      </c>
      <c r="J6" t="s">
        <v>754</v>
      </c>
      <c r="L6" s="3"/>
      <c r="M6" s="13"/>
    </row>
    <row r="7" spans="1:13">
      <c r="A7">
        <v>2</v>
      </c>
      <c r="B7" s="2">
        <f>EXP(F7/Performance!$C$8)*C7</f>
        <v>71095119818.241074</v>
      </c>
      <c r="C7" s="2">
        <f>Vehicle!$B$11</f>
        <v>64510000000</v>
      </c>
      <c r="D7" s="2">
        <f>B7-C7-E7</f>
        <v>4633629020.5043812</v>
      </c>
      <c r="E7" s="2">
        <f>(B7-C7)*Performance!$C$15</f>
        <v>1951490797.7366929</v>
      </c>
      <c r="F7" s="2">
        <f>Performance!$C$2</f>
        <v>1298592.6276041667</v>
      </c>
      <c r="G7" s="2">
        <f>(Performance!$C$8*B7/Performance!$C$7)*(1-(1+F7/Performance!$C$8)*EXP(-F7/Performance!$C$8))</f>
        <v>773983769325.14294</v>
      </c>
      <c r="H7" s="2">
        <f>D7/Performance!$C$7</f>
        <v>852586.47026062373</v>
      </c>
      <c r="I7" s="3">
        <f>F7*3600*24/Performance!$C$36</f>
        <v>0.75</v>
      </c>
      <c r="J7" t="s">
        <v>754</v>
      </c>
      <c r="L7" s="3"/>
      <c r="M7" s="2"/>
    </row>
    <row r="9" spans="1:13">
      <c r="A9" t="s">
        <v>403</v>
      </c>
    </row>
    <row r="10" spans="1:13">
      <c r="A10" t="s">
        <v>736</v>
      </c>
      <c r="C10" s="4">
        <v>52092.5</v>
      </c>
      <c r="D10" t="s">
        <v>764</v>
      </c>
      <c r="E10" s="123">
        <f>INT(C10-15021)</f>
        <v>37071</v>
      </c>
      <c r="F10" t="s">
        <v>765</v>
      </c>
      <c r="J10" s="2"/>
    </row>
    <row r="11" spans="1:13">
      <c r="A11" t="s">
        <v>738</v>
      </c>
      <c r="C11" s="4">
        <f>$C$10+E28</f>
        <v>52103.375204759133</v>
      </c>
      <c r="D11" t="s">
        <v>764</v>
      </c>
      <c r="E11" s="123">
        <f>INT(C11-15021)</f>
        <v>37082</v>
      </c>
      <c r="F11" t="s">
        <v>765</v>
      </c>
    </row>
    <row r="12" spans="1:13">
      <c r="A12" t="s">
        <v>739</v>
      </c>
      <c r="C12" s="4">
        <f>C13-E41</f>
        <v>52132.787616703674</v>
      </c>
      <c r="D12" t="s">
        <v>764</v>
      </c>
      <c r="E12" s="123">
        <f>INT(C12-15021)</f>
        <v>37111</v>
      </c>
      <c r="F12" t="s">
        <v>765</v>
      </c>
      <c r="J12" s="3"/>
    </row>
    <row r="13" spans="1:13">
      <c r="A13" t="s">
        <v>741</v>
      </c>
      <c r="C13" s="4">
        <f>$C$10+$C$14</f>
        <v>52142.655515665021</v>
      </c>
      <c r="D13" t="s">
        <v>764</v>
      </c>
      <c r="E13" s="123">
        <f>INT(C13-15021)</f>
        <v>37121</v>
      </c>
      <c r="F13" t="s">
        <v>765</v>
      </c>
      <c r="J13" s="2"/>
    </row>
    <row r="14" spans="1:13">
      <c r="A14" t="s">
        <v>750</v>
      </c>
      <c r="C14" s="4">
        <f>E14/3600/24</f>
        <v>50.155515665021007</v>
      </c>
      <c r="D14" t="s">
        <v>434</v>
      </c>
      <c r="E14" s="2">
        <f>H6+C34+H7</f>
        <v>4333436.5534578152</v>
      </c>
      <c r="F14" t="s">
        <v>4</v>
      </c>
      <c r="G14">
        <f>C14/7</f>
        <v>7.1650736664315726</v>
      </c>
      <c r="H14" t="s">
        <v>751</v>
      </c>
    </row>
    <row r="15" spans="1:13">
      <c r="E15" s="123"/>
      <c r="J15" s="2"/>
    </row>
    <row r="16" spans="1:13">
      <c r="A16" t="s">
        <v>766</v>
      </c>
      <c r="C16" s="4"/>
      <c r="E16" s="123"/>
    </row>
    <row r="17" spans="1:10">
      <c r="A17" t="s">
        <v>744</v>
      </c>
      <c r="B17" t="s">
        <v>747</v>
      </c>
      <c r="C17">
        <v>-2.6541935483870964</v>
      </c>
      <c r="D17" t="s">
        <v>749</v>
      </c>
      <c r="E17">
        <v>-1.1896774193548394</v>
      </c>
      <c r="F17" t="s">
        <v>752</v>
      </c>
      <c r="G17">
        <f>4743</f>
        <v>4743</v>
      </c>
    </row>
    <row r="18" spans="1:10">
      <c r="A18" t="s">
        <v>745</v>
      </c>
      <c r="B18" t="s">
        <v>747</v>
      </c>
      <c r="C18">
        <v>29.482333607230892</v>
      </c>
      <c r="D18" t="s">
        <v>749</v>
      </c>
      <c r="E18">
        <v>-8.3976992604765854</v>
      </c>
      <c r="F18" t="s">
        <v>752</v>
      </c>
      <c r="G18">
        <f>4743</f>
        <v>4743</v>
      </c>
      <c r="J18" s="2"/>
    </row>
    <row r="19" spans="1:10">
      <c r="A19" t="s">
        <v>733</v>
      </c>
      <c r="C19">
        <f>SQRT((C18-C17)^2+(E18-E17)^2)</f>
        <v>32.934965560720734</v>
      </c>
      <c r="D19" t="s">
        <v>112</v>
      </c>
      <c r="E19">
        <f>C19*Performance!$C$36</f>
        <v>4927000719461.6533</v>
      </c>
      <c r="F19" t="s">
        <v>734</v>
      </c>
      <c r="J19" s="2"/>
    </row>
    <row r="20" spans="1:10">
      <c r="A20" t="s">
        <v>735</v>
      </c>
      <c r="C20">
        <f>121.7/10</f>
        <v>12.17</v>
      </c>
      <c r="D20">
        <v>512</v>
      </c>
      <c r="E20">
        <v>512</v>
      </c>
    </row>
    <row r="21" spans="1:10">
      <c r="A21" t="s">
        <v>755</v>
      </c>
      <c r="C21">
        <f>ATAN2(C18-C17,E18-E17)</f>
        <v>-0.22064211157548114</v>
      </c>
      <c r="D21" t="s">
        <v>756</v>
      </c>
      <c r="E21">
        <f>C21*180/PI()</f>
        <v>-12.641861776129675</v>
      </c>
      <c r="F21" t="s">
        <v>757</v>
      </c>
    </row>
    <row r="23" spans="1:10">
      <c r="A23" s="119" t="s">
        <v>804</v>
      </c>
      <c r="B23" s="119"/>
      <c r="C23" s="126">
        <f>B6</f>
        <v>78352442442.567886</v>
      </c>
    </row>
    <row r="24" spans="1:10">
      <c r="A24" t="s">
        <v>806</v>
      </c>
      <c r="C24" s="2">
        <f>D6</f>
        <v>5106625490.7152033</v>
      </c>
      <c r="D24" t="s">
        <v>34</v>
      </c>
      <c r="E24" s="3"/>
      <c r="G24" s="6"/>
      <c r="I24" s="2"/>
    </row>
    <row r="25" spans="1:10">
      <c r="A25" t="s">
        <v>805</v>
      </c>
      <c r="C25" s="2">
        <f>E6</f>
        <v>2150697133.6116095</v>
      </c>
      <c r="D25" t="s">
        <v>34</v>
      </c>
      <c r="E25" s="3"/>
      <c r="G25" s="2"/>
      <c r="I25" s="2"/>
      <c r="J25" s="2"/>
    </row>
    <row r="26" spans="1:10">
      <c r="A26" t="s">
        <v>802</v>
      </c>
      <c r="C26" s="2">
        <f>Performance!$C$8*LN(C23/(C23-C24-C25))</f>
        <v>1298592.6276041667</v>
      </c>
      <c r="D26" t="s">
        <v>729</v>
      </c>
      <c r="E26" s="2">
        <f>C26/300000000</f>
        <v>4.3286420920138893E-3</v>
      </c>
      <c r="F26" t="s">
        <v>753</v>
      </c>
      <c r="G26" s="2">
        <f>C26/Performance!C36*3600*24</f>
        <v>0.75</v>
      </c>
      <c r="H26" t="s">
        <v>754</v>
      </c>
    </row>
    <row r="27" spans="1:10">
      <c r="A27" s="124" t="s">
        <v>742</v>
      </c>
      <c r="C27" s="2">
        <f>G6/$E$19</f>
        <v>0.17312587300347054</v>
      </c>
      <c r="F27" t="s">
        <v>734</v>
      </c>
      <c r="G27">
        <f>$C$19*C27</f>
        <v>5.7018946650390134</v>
      </c>
      <c r="H27" t="s">
        <v>112</v>
      </c>
      <c r="I27" t="s">
        <v>803</v>
      </c>
    </row>
    <row r="28" spans="1:10">
      <c r="A28" t="s">
        <v>743</v>
      </c>
      <c r="C28" s="3">
        <f>H6/3600</f>
        <v>261.00491421911431</v>
      </c>
      <c r="D28" t="s">
        <v>777</v>
      </c>
      <c r="E28" s="3">
        <f>H6/3600/24</f>
        <v>10.875204759129764</v>
      </c>
      <c r="F28" t="s">
        <v>434</v>
      </c>
    </row>
    <row r="29" spans="1:10">
      <c r="A29" t="s">
        <v>809</v>
      </c>
      <c r="C29" s="3">
        <f>(Performance!$C$8*Performance!$C$7)/C6</f>
        <v>1.0213077942006681</v>
      </c>
      <c r="D29" t="s">
        <v>3</v>
      </c>
      <c r="E29" s="3">
        <f>C29/9.8</f>
        <v>0.10421508104088449</v>
      </c>
      <c r="F29" t="s">
        <v>810</v>
      </c>
      <c r="G29" s="2"/>
      <c r="H29" s="125"/>
      <c r="I29" s="125"/>
      <c r="J29" s="125"/>
    </row>
    <row r="31" spans="1:10">
      <c r="A31" t="s">
        <v>813</v>
      </c>
      <c r="C31" s="2">
        <f>C23-C24-C25</f>
        <v>71095119818.241074</v>
      </c>
    </row>
    <row r="32" spans="1:10">
      <c r="A32" t="s">
        <v>815</v>
      </c>
      <c r="C32" s="2">
        <f>C26+G17</f>
        <v>1303335.6276041667</v>
      </c>
    </row>
    <row r="33" spans="1:8">
      <c r="A33" s="124" t="s">
        <v>740</v>
      </c>
      <c r="C33">
        <f>1-C27-C40</f>
        <v>0.66978387810171858</v>
      </c>
      <c r="E33">
        <f>E19*C33</f>
        <v>3300025649290.9839</v>
      </c>
      <c r="F33" t="s">
        <v>734</v>
      </c>
      <c r="G33">
        <f>C19*C33</f>
        <v>22.059308958406074</v>
      </c>
      <c r="H33" t="s">
        <v>112</v>
      </c>
    </row>
    <row r="34" spans="1:8">
      <c r="A34" t="s">
        <v>746</v>
      </c>
      <c r="C34">
        <f>E33/C26</f>
        <v>2541232.39200838</v>
      </c>
      <c r="D34" t="s">
        <v>4</v>
      </c>
      <c r="E34">
        <f>C34/3600/24</f>
        <v>29.412411944541436</v>
      </c>
      <c r="F34" t="s">
        <v>434</v>
      </c>
    </row>
    <row r="36" spans="1:8">
      <c r="A36" t="s">
        <v>801</v>
      </c>
      <c r="C36" s="2">
        <f>B7</f>
        <v>71095119818.241074</v>
      </c>
    </row>
    <row r="37" spans="1:8">
      <c r="A37" t="s">
        <v>807</v>
      </c>
      <c r="C37" s="2">
        <f>D7</f>
        <v>4633629020.5043812</v>
      </c>
      <c r="E37" s="3"/>
      <c r="G37" s="2"/>
      <c r="H37" s="2"/>
    </row>
    <row r="38" spans="1:8">
      <c r="A38" t="s">
        <v>808</v>
      </c>
      <c r="C38" s="2">
        <f>E7</f>
        <v>1951490797.7366929</v>
      </c>
      <c r="E38" s="3"/>
      <c r="G38" s="2"/>
    </row>
    <row r="39" spans="1:8">
      <c r="A39" t="s">
        <v>802</v>
      </c>
      <c r="C39" s="2">
        <f>Performance!$C$8*LN(C36/(C36-C37-C38))</f>
        <v>1298592.6276041667</v>
      </c>
      <c r="D39" s="2"/>
      <c r="E39" s="3"/>
      <c r="G39" s="2"/>
    </row>
    <row r="40" spans="1:8">
      <c r="A40" t="s">
        <v>774</v>
      </c>
      <c r="C40" s="2">
        <f>G7/$E$19</f>
        <v>0.1570902488948108</v>
      </c>
      <c r="D40" t="s">
        <v>112</v>
      </c>
      <c r="E40" s="2">
        <f>$C$19*C40</f>
        <v>5.1737619372756418</v>
      </c>
      <c r="F40" t="s">
        <v>747</v>
      </c>
    </row>
    <row r="41" spans="1:8">
      <c r="A41" t="s">
        <v>748</v>
      </c>
      <c r="C41" s="3">
        <f>H7/3600</f>
        <v>236.82957507239547</v>
      </c>
      <c r="D41" t="s">
        <v>777</v>
      </c>
      <c r="E41" s="3">
        <f>H7/3600/24</f>
        <v>9.8678989613498107</v>
      </c>
      <c r="F41" t="s">
        <v>434</v>
      </c>
    </row>
    <row r="42" spans="1:8">
      <c r="A42" t="s">
        <v>812</v>
      </c>
      <c r="C42" s="3">
        <f>(Performance!$C$8*Performance!$C$7)/C7</f>
        <v>1.1255619283831964</v>
      </c>
      <c r="E42" s="3">
        <f>C42/9.8</f>
        <v>0.11485325799828533</v>
      </c>
      <c r="F42" t="s">
        <v>810</v>
      </c>
      <c r="G42" s="3"/>
    </row>
    <row r="43" spans="1:8">
      <c r="C43" s="2"/>
      <c r="E43" s="2"/>
      <c r="G43" s="3"/>
    </row>
    <row r="44" spans="1:8">
      <c r="A44" t="s">
        <v>814</v>
      </c>
      <c r="C44" s="2">
        <f>C36-C37-C38</f>
        <v>64510000000</v>
      </c>
      <c r="E44" s="2"/>
      <c r="G44" s="3"/>
    </row>
    <row r="46" spans="1:8">
      <c r="A46" t="s">
        <v>776</v>
      </c>
      <c r="C46" s="2">
        <f>H7+H6</f>
        <v>1792204.1614494352</v>
      </c>
      <c r="D46" t="s">
        <v>4</v>
      </c>
      <c r="E46" s="3">
        <f>C46/3600</f>
        <v>497.83448929150978</v>
      </c>
      <c r="F46" t="s">
        <v>777</v>
      </c>
      <c r="G46" s="3">
        <f>E46/24</f>
        <v>20.743103720479574</v>
      </c>
      <c r="H46" t="s">
        <v>434</v>
      </c>
    </row>
    <row r="47" spans="1:8">
      <c r="A47" t="s">
        <v>775</v>
      </c>
      <c r="C47" s="2"/>
      <c r="D47" t="s">
        <v>34</v>
      </c>
      <c r="E47" s="3"/>
    </row>
    <row r="48" spans="1:8">
      <c r="A48" t="s">
        <v>783</v>
      </c>
      <c r="C48" s="2"/>
      <c r="D48" t="s">
        <v>34</v>
      </c>
      <c r="E48" s="3"/>
    </row>
    <row r="49" spans="1:12">
      <c r="C49" s="2"/>
      <c r="E49" s="3"/>
    </row>
    <row r="50" spans="1:12">
      <c r="B50" t="s">
        <v>762</v>
      </c>
      <c r="C50" t="s">
        <v>9</v>
      </c>
      <c r="D50" t="s">
        <v>758</v>
      </c>
      <c r="E50" t="s">
        <v>759</v>
      </c>
      <c r="F50" t="s">
        <v>763</v>
      </c>
      <c r="G50" t="s">
        <v>770</v>
      </c>
      <c r="H50" t="s">
        <v>769</v>
      </c>
      <c r="I50" t="s">
        <v>816</v>
      </c>
      <c r="J50" t="s">
        <v>778</v>
      </c>
      <c r="K50" t="s">
        <v>760</v>
      </c>
      <c r="L50" t="s">
        <v>771</v>
      </c>
    </row>
    <row r="52" spans="1:12">
      <c r="A52" t="s">
        <v>728</v>
      </c>
      <c r="B52">
        <f>C10</f>
        <v>52092.5</v>
      </c>
      <c r="C52">
        <f>(B52-IF(G52=1,$C$10,IF(G52=2,$C$11,IF(G52=3,$C$12,$C$13))))*3600*24</f>
        <v>0</v>
      </c>
      <c r="D52">
        <f t="shared" ref="D52:D83" si="0">$C$17+COS($C$21)*$F52</f>
        <v>-2.6541935483870964</v>
      </c>
      <c r="E52">
        <f t="shared" ref="E52:E83" si="1">$E$17+SIN($C$21)*$F52</f>
        <v>-1.1896774193548394</v>
      </c>
      <c r="F52">
        <f>L52/Performance!$C$36</f>
        <v>0</v>
      </c>
      <c r="G52">
        <f>IF($B52&lt;$C$10,0,IF($B52&lt;=$C$11,1,IF($B52&gt;$C$13,4,IF($B52&gt;=$C$12,3,2))))</f>
        <v>1</v>
      </c>
      <c r="H52" s="2">
        <f t="shared" ref="H52:H61" si="2">IF(G52=1,$C$23,IF(G52=2,$C$31,IF(G52=3,$C$36,$C$44)))</f>
        <v>78352442442.567886</v>
      </c>
      <c r="I52" s="2">
        <f>IF(OR(G52=1,G52=3),C52*Performance!$C$7,0)</f>
        <v>0</v>
      </c>
      <c r="J52" s="2">
        <f>C52*(IF(OR(G52=1,G52=3),Performance!$C$15,0))</f>
        <v>0</v>
      </c>
      <c r="K52" s="2">
        <f>IF(G52=4,0,IF(G52=1,Performance!$C$2*LN($H52/(H52-I52)),$C$26)+IF(G52=3,-1*Performance!$C$2*LN($H52/(H52-I52)),0))</f>
        <v>0</v>
      </c>
      <c r="L52" s="13">
        <f>IF(G52=4,$E$19,IF(G52=2,C52*$C$26,IF(OR(G52=1,G52=3),(Performance!$C$8/Performance!$C$7)*(H52-(H52-I52-J52)*(LN(H52/(H52-I52-J52))+1)))+IF(G52=2,$G$6)+IF(G52=3,$E$33)))</f>
        <v>0</v>
      </c>
    </row>
    <row r="53" spans="1:12">
      <c r="A53" t="str">
        <f t="shared" ref="A53:A104" si="3">CONCATENATE("Day ",INT($B53-$C$10))</f>
        <v>Day 1</v>
      </c>
      <c r="B53" s="4">
        <f>B52+IF(B52&lt;$C$11+7,1,IF(B52&gt;($C$12-8),1,7))</f>
        <v>52093.5</v>
      </c>
      <c r="C53">
        <f t="shared" ref="C53:C104" si="4">(B53-IF(G53=1,$C$10,IF(G53=2,$C$11,IF(G53=3,$C$12,$C$13))))*3600*24</f>
        <v>86400</v>
      </c>
      <c r="D53">
        <f t="shared" si="0"/>
        <v>-2.6315849090259045</v>
      </c>
      <c r="E53">
        <f t="shared" si="1"/>
        <v>-1.1947483956157272</v>
      </c>
      <c r="F53">
        <f>L53/Performance!$C$36</f>
        <v>2.317035550014114E-2</v>
      </c>
      <c r="G53">
        <f t="shared" ref="G53:G104" si="5">IF($B53&lt;$C$10,0,IF($B53&lt;=$C$11,1,IF($B53&gt;$C$13,4,IF($B53&gt;=$C$12,3,2))))</f>
        <v>1</v>
      </c>
      <c r="H53" s="2">
        <f t="shared" si="2"/>
        <v>78352442442.567886</v>
      </c>
      <c r="I53" s="2">
        <f>IF(OR(G53=1,G53=3),C53*Performance!$C$7,0)</f>
        <v>469565916.57993174</v>
      </c>
      <c r="J53" s="2">
        <f>C53*(IF(OR(G53=1,G53=3),Performance!$C$15,0))</f>
        <v>25604.515874927045</v>
      </c>
      <c r="K53" s="2">
        <f>IF(G53=4,0,IF(G53=1,Performance!$C$2*LN($H53/(H53-I53)),$C$26)+IF(G53=3,-1*Performance!$C$2*LN($H53/(H53-I53)),0))</f>
        <v>7805.8748498596879</v>
      </c>
      <c r="L53" s="2">
        <f>IF(G53=4,$E$19,IF(G53=2,C53*$C$26,IF(OR(G53=1,G53=3),(Performance!$C$8/Performance!$C$7)*(H53-(H53-I53-J53)*(LN(H53/(H53-I53-J53))+1)))+IF(G53=2,$G$6)+IF(G53=3,$E$33)))</f>
        <v>3466235846.1831479</v>
      </c>
    </row>
    <row r="54" spans="1:12">
      <c r="A54" t="str">
        <f t="shared" si="3"/>
        <v>Day 2</v>
      </c>
      <c r="B54" s="4">
        <f t="shared" ref="B54:B104" si="6">B53+IF(B53&lt;$C$11+7,1,IF(B53&gt;($C$12-8),1,7))</f>
        <v>52094.5</v>
      </c>
      <c r="C54">
        <f t="shared" si="4"/>
        <v>172800</v>
      </c>
      <c r="D54">
        <f t="shared" si="0"/>
        <v>-2.5635770497181909</v>
      </c>
      <c r="E54">
        <f t="shared" si="1"/>
        <v>-1.2100021326758701</v>
      </c>
      <c r="F54">
        <f>L54/Performance!$C$36</f>
        <v>9.2867883590581665E-2</v>
      </c>
      <c r="G54">
        <f t="shared" si="5"/>
        <v>1</v>
      </c>
      <c r="H54" s="2">
        <f t="shared" si="2"/>
        <v>78352442442.567886</v>
      </c>
      <c r="I54" s="2">
        <f>IF(OR(G54=1,G54=3),C54*Performance!$C$7,0)</f>
        <v>939131833.15986347</v>
      </c>
      <c r="J54" s="2">
        <f>C54*(IF(OR(G54=1,G54=3),Performance!$C$15,0))</f>
        <v>51209.03174985409</v>
      </c>
      <c r="K54" s="2">
        <f>IF(G54=4,0,IF(G54=1,Performance!$C$2*LN($H54/(H54-I54)),$C$26)+IF(G54=3,-1*Performance!$C$2*LN($H54/(H54-I54)),0))</f>
        <v>15658.954916022834</v>
      </c>
      <c r="L54" s="13">
        <f>IF(G54=4,$E$19,IF(G54=2,C54*$C$26,IF(OR(G54=1,G54=3),(Performance!$C$8/Performance!$C$7)*(H54-(H54-I54-J54)*(LN(H54/(H54-I54-J54))+1)))+IF(G54=2,$G$6)+IF(G54=3,$E$33)))</f>
        <v>13892837641.566488</v>
      </c>
    </row>
    <row r="55" spans="1:12">
      <c r="A55" t="str">
        <f t="shared" si="3"/>
        <v>Day 3</v>
      </c>
      <c r="B55" s="4">
        <f t="shared" si="6"/>
        <v>52095.5</v>
      </c>
      <c r="C55">
        <f t="shared" si="4"/>
        <v>259200</v>
      </c>
      <c r="D55">
        <f t="shared" si="0"/>
        <v>-2.4498945738503113</v>
      </c>
      <c r="E55">
        <f t="shared" si="1"/>
        <v>-1.2355004002715091</v>
      </c>
      <c r="F55">
        <f>L55/Performance!$C$36</f>
        <v>0.20937482316857359</v>
      </c>
      <c r="G55">
        <f t="shared" si="5"/>
        <v>1</v>
      </c>
      <c r="H55" s="2">
        <f t="shared" si="2"/>
        <v>78352442442.567886</v>
      </c>
      <c r="I55" s="2">
        <f>IF(OR(G55=1,G55=3),C55*Performance!$C$7,0)</f>
        <v>1408697749.7397952</v>
      </c>
      <c r="J55" s="2">
        <f>C55*(IF(OR(G55=1,G55=3),Performance!$C$15,0))</f>
        <v>76813.547624781131</v>
      </c>
      <c r="K55" s="2">
        <f>IF(G55=4,0,IF(G55=1,Performance!$C$2*LN($H55/(H55-I55)),$C$26)+IF(G55=3,-1*Performance!$C$2*LN($H55/(H55-I55)),0))</f>
        <v>23559.814611223523</v>
      </c>
      <c r="L55" s="13">
        <f>IF(G55=4,$E$19,IF(G55=2,C55*$C$26,IF(OR(G55=1,G55=3),(Performance!$C$8/Performance!$C$7)*(H55-(H55-I55-J55)*(LN(H55/(H55-I55-J55))+1)))+IF(G55=2,$G$6)+IF(G55=3,$E$33)))</f>
        <v>31322027724.207634</v>
      </c>
    </row>
    <row r="56" spans="1:12">
      <c r="A56" t="str">
        <f t="shared" si="3"/>
        <v>Day 4</v>
      </c>
      <c r="B56" s="4">
        <f t="shared" si="6"/>
        <v>52096.5</v>
      </c>
      <c r="C56">
        <f t="shared" si="4"/>
        <v>345600</v>
      </c>
      <c r="D56">
        <f t="shared" si="0"/>
        <v>-2.2902587232254792</v>
      </c>
      <c r="E56">
        <f t="shared" si="1"/>
        <v>-1.2713057221209387</v>
      </c>
      <c r="F56">
        <f>L56/Performance!$C$36</f>
        <v>0.37297685823371252</v>
      </c>
      <c r="G56">
        <f t="shared" si="5"/>
        <v>1</v>
      </c>
      <c r="H56" s="2">
        <f t="shared" si="2"/>
        <v>78352442442.567886</v>
      </c>
      <c r="I56" s="2">
        <f>IF(OR(G56=1,G56=3),C56*Performance!$C$7,0)</f>
        <v>1878263666.3197269</v>
      </c>
      <c r="J56" s="2">
        <f>C56*(IF(OR(G56=1,G56=3),Performance!$C$15,0))</f>
        <v>102418.06349970818</v>
      </c>
      <c r="K56" s="2">
        <f>IF(G56=4,0,IF(G56=1,Performance!$C$2*LN($H56/(H56-I56)),$C$26)+IF(G56=3,-1*Performance!$C$2*LN($H56/(H56-I56)),0))</f>
        <v>31509.038896950096</v>
      </c>
      <c r="L56" s="13">
        <f>IF(G56=4,$E$19,IF(G56=2,C56*$C$26,IF(OR(G56=1,G56=3),(Performance!$C$8/Performance!$C$7)*(H56-(H56-I56-J56)*(LN(H56/(H56-I56-J56))+1)))+IF(G56=2,$G$6)+IF(G56=3,$E$33)))</f>
        <v>55796543812.139153</v>
      </c>
    </row>
    <row r="57" spans="1:12">
      <c r="A57" t="str">
        <f t="shared" si="3"/>
        <v>Day 5</v>
      </c>
      <c r="B57" s="4">
        <f t="shared" si="6"/>
        <v>52097.5</v>
      </c>
      <c r="C57">
        <f t="shared" si="4"/>
        <v>432000</v>
      </c>
      <c r="D57">
        <f t="shared" si="0"/>
        <v>-2.0843873161343378</v>
      </c>
      <c r="E57">
        <f t="shared" si="1"/>
        <v>-1.3174813898148887</v>
      </c>
      <c r="F57">
        <f>L57/Performance!$C$36</f>
        <v>0.58396318135601466</v>
      </c>
      <c r="G57">
        <f t="shared" si="5"/>
        <v>1</v>
      </c>
      <c r="H57" s="2">
        <f t="shared" si="2"/>
        <v>78352442442.567886</v>
      </c>
      <c r="I57" s="2">
        <f>IF(OR(G57=1,G57=3),C57*Performance!$C$7,0)</f>
        <v>2347829582.8996587</v>
      </c>
      <c r="J57" s="2">
        <f>C57*(IF(OR(G57=1,G57=3),Performance!$C$15,0))</f>
        <v>128022.57937463521</v>
      </c>
      <c r="K57" s="2">
        <f>IF(G57=4,0,IF(G57=1,Performance!$C$2*LN($H57/(H57-I57)),$C$26)+IF(G57=3,-1*Performance!$C$2*LN($H57/(H57-I57)),0))</f>
        <v>39507.223543331682</v>
      </c>
      <c r="L57" s="13">
        <f>IF(G57=4,$E$19,IF(G57=2,C57*$C$26,IF(OR(G57=1,G57=3),(Performance!$C$8/Performance!$C$7)*(H57-(H57-I57-J57)*(LN(H57/(H57-I57-J57))+1)))+IF(G57=2,$G$6)+IF(G57=3,$E$33)))</f>
        <v>87359648498.057724</v>
      </c>
    </row>
    <row r="58" spans="1:12">
      <c r="A58" t="str">
        <f t="shared" si="3"/>
        <v>Day 6</v>
      </c>
      <c r="B58" s="4">
        <f t="shared" si="6"/>
        <v>52098.5</v>
      </c>
      <c r="C58">
        <f t="shared" si="4"/>
        <v>518400</v>
      </c>
      <c r="D58">
        <f t="shared" si="0"/>
        <v>-2.6541935459722787</v>
      </c>
      <c r="E58">
        <f t="shared" si="1"/>
        <v>-1.1896774198964679</v>
      </c>
      <c r="F58">
        <f>L58/Performance!$C$36</f>
        <v>2.4748142010568069E-9</v>
      </c>
      <c r="G58">
        <f t="shared" si="5"/>
        <v>1</v>
      </c>
      <c r="H58" s="2">
        <f t="shared" si="2"/>
        <v>78352442442.567886</v>
      </c>
      <c r="I58" s="2">
        <f>IF(OR(G58=1,G58=3),C58*Vehicle!$C$31,0)</f>
        <v>0</v>
      </c>
      <c r="J58" s="2">
        <f>C58*(IF(OR(G58=1,G58=3),Performance!$C$15,0))</f>
        <v>153627.09524956226</v>
      </c>
      <c r="K58" s="2">
        <f>IF(G58=4,0,IF(G58=1,Performance!$C$2*LN($H58/(H58-I58)),$C$26)+IF(G58=3,-1*Performance!$C$2*LN($H58/(H58-I58)),0))</f>
        <v>0</v>
      </c>
      <c r="L58" s="13">
        <f>IF(G58=4,$E$19,IF(G58=2,C58*$C$26,IF(OR(G58=1,G58=3),(Performance!$C$8/Performance!$C$7)*(H58-(H58-I58-J58)*(LN(H58/(H58-I58-J58))+1)))+IF(G58=2,$G$6)+IF(G58=3,$E$33)))</f>
        <v>370.22693485622</v>
      </c>
    </row>
    <row r="59" spans="1:12">
      <c r="A59" t="str">
        <f t="shared" si="3"/>
        <v>Day 7</v>
      </c>
      <c r="B59" s="4">
        <f t="shared" si="6"/>
        <v>52099.5</v>
      </c>
      <c r="C59">
        <f t="shared" si="4"/>
        <v>604800</v>
      </c>
      <c r="D59">
        <f t="shared" si="0"/>
        <v>-2.6541935451000573</v>
      </c>
      <c r="E59">
        <f t="shared" si="1"/>
        <v>-1.1896774200921016</v>
      </c>
      <c r="F59">
        <f>L59/Performance!$C$36</f>
        <v>3.368706057872158E-9</v>
      </c>
      <c r="G59">
        <f t="shared" si="5"/>
        <v>1</v>
      </c>
      <c r="H59" s="2">
        <f t="shared" si="2"/>
        <v>78352442442.567886</v>
      </c>
      <c r="I59" s="2">
        <f>IF(OR(G59=1,G59=3),C59*Vehicle!$C$31,0)</f>
        <v>0</v>
      </c>
      <c r="J59" s="2">
        <f>C59*(IF(OR(G59=1,G59=3),Performance!$C$15,0))</f>
        <v>179231.61112448931</v>
      </c>
      <c r="K59" s="2">
        <f>IF(G59=4,0,IF(G59=1,Performance!$C$2*LN($H59/(H59-I59)),$C$26)+IF(G59=3,-1*Performance!$C$2*LN($H59/(H59-I59)),0))</f>
        <v>0</v>
      </c>
      <c r="L59" s="13">
        <f>IF(G59=4,$E$19,IF(G59=2,C59*$C$26,IF(OR(G59=1,G59=3),(Performance!$C$8/Performance!$C$7)*(H59-(H59-I59-J59)*(LN(H59/(H59-I59-J59))+1)))+IF(G59=2,$G$6)+IF(G59=3,$E$33)))</f>
        <v>503.95125327186582</v>
      </c>
    </row>
    <row r="60" spans="1:12">
      <c r="A60" t="str">
        <f t="shared" si="3"/>
        <v>Day 8</v>
      </c>
      <c r="B60" s="4">
        <f t="shared" si="6"/>
        <v>52100.5</v>
      </c>
      <c r="C60">
        <f t="shared" si="4"/>
        <v>691200</v>
      </c>
      <c r="D60">
        <f t="shared" si="0"/>
        <v>-2.654193544093761</v>
      </c>
      <c r="E60">
        <f t="shared" si="1"/>
        <v>-1.1896774203178075</v>
      </c>
      <c r="F60">
        <f>L60/Performance!$C$36</f>
        <v>4.4000040121727305E-9</v>
      </c>
      <c r="G60">
        <f t="shared" si="5"/>
        <v>1</v>
      </c>
      <c r="H60" s="2">
        <f t="shared" si="2"/>
        <v>78352442442.567886</v>
      </c>
      <c r="I60" s="2">
        <f>IF(OR(G60=1,G60=3),C60*Vehicle!$C$31,0)</f>
        <v>0</v>
      </c>
      <c r="J60" s="2">
        <f>C60*(IF(OR(G60=1,G60=3),Performance!$C$15,0))</f>
        <v>204836.12699941636</v>
      </c>
      <c r="K60" s="2">
        <f>IF(G60=4,0,IF(G60=1,Performance!$C$2*LN($H60/(H60-I60)),$C$26)+IF(G60=3,-1*Performance!$C$2*LN($H60/(H60-I60)),0))</f>
        <v>0</v>
      </c>
      <c r="L60" s="13">
        <f>IF(G60=4,$E$19,IF(G60=2,C60*$C$26,IF(OR(G60=1,G60=3),(Performance!$C$8/Performance!$C$7)*(H60-(H60-I60-J60)*(LN(H60/(H60-I60-J60))+1)))+IF(G60=2,$G$6)+IF(G60=3,$E$33)))</f>
        <v>658.23123129249734</v>
      </c>
    </row>
    <row r="61" spans="1:12">
      <c r="A61" t="str">
        <f t="shared" si="3"/>
        <v>Day 9</v>
      </c>
      <c r="B61" s="4">
        <f t="shared" si="6"/>
        <v>52101.5</v>
      </c>
      <c r="C61">
        <f t="shared" si="4"/>
        <v>777600</v>
      </c>
      <c r="D61">
        <f t="shared" si="0"/>
        <v>-2.6541935429536347</v>
      </c>
      <c r="E61">
        <f t="shared" si="1"/>
        <v>-1.189677420573531</v>
      </c>
      <c r="F61">
        <f>L61/Performance!$C$36</f>
        <v>5.568457322904718E-9</v>
      </c>
      <c r="G61">
        <f t="shared" si="5"/>
        <v>1</v>
      </c>
      <c r="H61" s="2">
        <f t="shared" si="2"/>
        <v>78352442442.567886</v>
      </c>
      <c r="I61" s="2">
        <f>IF(OR(G61=1,G61=3),C61*Vehicle!$C$31,0)</f>
        <v>0</v>
      </c>
      <c r="J61" s="2">
        <f>C61*(IF(OR(G61=1,G61=3),Performance!$C$15,0))</f>
        <v>230440.64287434341</v>
      </c>
      <c r="K61" s="2">
        <f>IF(G61=4,0,IF(G61=1,Performance!$C$2*LN($H61/(H61-I61)),$C$26)+IF(G61=3,-1*Performance!$C$2*LN($H61/(H61-I61)),0))</f>
        <v>0</v>
      </c>
      <c r="L61" s="13">
        <f>IF(G61=4,$E$19,IF(G61=2,C61*$C$26,IF(OR(G61=1,G61=3),(Performance!$C$8/Performance!$C$7)*(H61-(H61-I61-J61)*(LN(H61/(H61-I61-J61))+1)))+IF(G61=2,$G$6)+IF(G61=3,$E$33)))</f>
        <v>833.02935859036813</v>
      </c>
    </row>
    <row r="62" spans="1:12">
      <c r="A62" t="str">
        <f t="shared" si="3"/>
        <v>Day 10</v>
      </c>
      <c r="B62" s="4">
        <f t="shared" si="6"/>
        <v>52102.5</v>
      </c>
      <c r="C62">
        <f t="shared" si="4"/>
        <v>864000</v>
      </c>
      <c r="D62">
        <f t="shared" si="0"/>
        <v>-2.6541935416789437</v>
      </c>
      <c r="E62">
        <f t="shared" si="1"/>
        <v>-1.1896774208594361</v>
      </c>
      <c r="F62">
        <f>L62/Performance!$C$36</f>
        <v>6.8748182132295366E-9</v>
      </c>
      <c r="G62">
        <f t="shared" si="5"/>
        <v>1</v>
      </c>
      <c r="H62" s="2">
        <f t="shared" ref="H62:H104" si="7">IF(G62=1,$C$23,IF(G62=2,$C$31,IF(G62=3,$C$36,$C$44)))</f>
        <v>78352442442.567886</v>
      </c>
      <c r="I62" s="2">
        <f>IF(OR(G62=1,G62=3),C62*Vehicle!$C$31,0)</f>
        <v>0</v>
      </c>
      <c r="J62" s="2">
        <f>C62*(IF(OR(G62=1,G62=3),Performance!$C$15,0))</f>
        <v>256045.15874927043</v>
      </c>
      <c r="K62" s="2">
        <f>IF(G62=4,0,IF(G62=1,Performance!$C$2*LN($H62/(H62-I62)),$C$26)+IF(G62=3,-1*Performance!$C$2*LN($H62/(H62-I62)),0))</f>
        <v>0</v>
      </c>
      <c r="L62" s="13">
        <f>IF(G62=4,$E$19,IF(G62=2,C62*$C$26,IF(OR(G62=1,G62=3),(Performance!$C$8/Performance!$C$7)*(H62-(H62-I62-J62)*(LN(H62/(H62-I62-J62))+1)))+IF(G62=2,$G$6)+IF(G62=3,$E$33)))</f>
        <v>1028.4581661487173</v>
      </c>
    </row>
    <row r="63" spans="1:12">
      <c r="A63" t="str">
        <f t="shared" si="3"/>
        <v>Day 11</v>
      </c>
      <c r="B63" s="4">
        <f t="shared" si="6"/>
        <v>52103.5</v>
      </c>
      <c r="C63">
        <f t="shared" si="4"/>
        <v>10782.308810879476</v>
      </c>
      <c r="D63">
        <f t="shared" si="0"/>
        <v>-2.56286616473743</v>
      </c>
      <c r="E63">
        <f t="shared" si="1"/>
        <v>-1.2101615797263567</v>
      </c>
      <c r="F63">
        <f>L63/Performance!$C$36</f>
        <v>9.3596430649995455E-2</v>
      </c>
      <c r="G63">
        <f t="shared" si="5"/>
        <v>2</v>
      </c>
      <c r="H63" s="2">
        <f t="shared" si="7"/>
        <v>71095119818.241074</v>
      </c>
      <c r="I63" s="2">
        <f>IF(OR(G63=1,G63=3),C63*Vehicle!$C$31,0)</f>
        <v>0</v>
      </c>
      <c r="J63" s="2">
        <f>C63*(IF(OR(G63=1,G63=3),Performance!$C$15,0))</f>
        <v>0</v>
      </c>
      <c r="K63" s="2">
        <f>IF(G63=4,0,IF(G63=1,Performance!$C$2*LN($H63/(H63-I63)),$C$26)+IF(G63=3,-1*Performance!$C$2*LN($H63/(H63-I63)),0))</f>
        <v>1298592.6276041667</v>
      </c>
      <c r="L63" s="13">
        <f>IF(G63=4,$E$19,IF(G63=2,C63*$C$26,IF(OR(G63=1,G63=3),(Performance!$C$8/Performance!$C$7)*(H63-(H63-I63-J63)*(LN(H63/(H63-I63-J63))+1)))+IF(G63=2,$G$6)+IF(G63=3,$E$33)))</f>
        <v>14001826730.359537</v>
      </c>
    </row>
    <row r="64" spans="1:12">
      <c r="A64" t="str">
        <f t="shared" si="3"/>
        <v>Day 12</v>
      </c>
      <c r="B64" s="4">
        <f t="shared" si="6"/>
        <v>52104.5</v>
      </c>
      <c r="C64">
        <f t="shared" si="4"/>
        <v>97182.308810879476</v>
      </c>
      <c r="D64">
        <f t="shared" si="0"/>
        <v>-1.8310483244461753</v>
      </c>
      <c r="E64">
        <f t="shared" si="1"/>
        <v>-1.3743037395496145</v>
      </c>
      <c r="F64">
        <f>L64/Performance!$C$36</f>
        <v>0.84359643064999545</v>
      </c>
      <c r="G64">
        <f t="shared" si="5"/>
        <v>2</v>
      </c>
      <c r="H64" s="2">
        <f t="shared" si="7"/>
        <v>71095119818.241074</v>
      </c>
      <c r="I64" s="2">
        <f>IF(OR(G64=1,G64=3),C64*Vehicle!$C$31,0)</f>
        <v>0</v>
      </c>
      <c r="J64" s="2">
        <f>C64*(IF(OR(G64=1,G64=3),Performance!$C$15,0))</f>
        <v>0</v>
      </c>
      <c r="K64" s="2">
        <f>IF(G64=4,0,IF(G64=1,Performance!$C$2*LN($H64/(H64-I64)),$C$26)+IF(G64=3,-1*Performance!$C$2*LN($H64/(H64-I64)),0))</f>
        <v>1298592.6276041667</v>
      </c>
      <c r="L64" s="13">
        <f>IF(G64=4,$E$19,IF(G64=2,C64*$C$26,IF(OR(G64=1,G64=3),(Performance!$C$8/Performance!$C$7)*(H64-(H64-I64-J64)*(LN(H64/(H64-I64-J64))+1)))+IF(G64=2,$G$6)+IF(G64=3,$E$33)))</f>
        <v>126200229755.35954</v>
      </c>
    </row>
    <row r="65" spans="1:12">
      <c r="A65" t="str">
        <f t="shared" si="3"/>
        <v>Day 13</v>
      </c>
      <c r="B65" s="4">
        <f t="shared" si="6"/>
        <v>52105.5</v>
      </c>
      <c r="C65">
        <f t="shared" si="4"/>
        <v>183582.30881087948</v>
      </c>
      <c r="D65">
        <f t="shared" si="0"/>
        <v>-1.0992304841549208</v>
      </c>
      <c r="E65">
        <f t="shared" si="1"/>
        <v>-1.538445899372872</v>
      </c>
      <c r="F65">
        <f>L65/Performance!$C$36</f>
        <v>1.5935964306499957</v>
      </c>
      <c r="G65">
        <f t="shared" si="5"/>
        <v>2</v>
      </c>
      <c r="H65" s="2">
        <f t="shared" si="7"/>
        <v>71095119818.241074</v>
      </c>
      <c r="I65" s="2">
        <f>IF(OR(G65=1,G65=3),C65*Vehicle!$C$31,0)</f>
        <v>0</v>
      </c>
      <c r="J65" s="2">
        <f>C65*(IF(OR(G65=1,G65=3),Performance!$C$15,0))</f>
        <v>0</v>
      </c>
      <c r="K65" s="2">
        <f>IF(G65=4,0,IF(G65=1,Performance!$C$2*LN($H65/(H65-I65)),$C$26)+IF(G65=3,-1*Performance!$C$2*LN($H65/(H65-I65)),0))</f>
        <v>1298592.6276041667</v>
      </c>
      <c r="L65" s="13">
        <f>IF(G65=4,$E$19,IF(G65=2,C65*$C$26,IF(OR(G65=1,G65=3),(Performance!$C$8/Performance!$C$7)*(H65-(H65-I65-J65)*(LN(H65/(H65-I65-J65))+1)))+IF(G65=2,$G$6)+IF(G65=3,$E$33)))</f>
        <v>238398632780.35956</v>
      </c>
    </row>
    <row r="66" spans="1:12">
      <c r="A66" t="str">
        <f t="shared" si="3"/>
        <v>Day 14</v>
      </c>
      <c r="B66" s="4">
        <f t="shared" si="6"/>
        <v>52106.5</v>
      </c>
      <c r="C66">
        <f t="shared" si="4"/>
        <v>269982.30881087948</v>
      </c>
      <c r="D66">
        <f t="shared" si="0"/>
        <v>-0.36741264386366623</v>
      </c>
      <c r="E66">
        <f t="shared" si="1"/>
        <v>-1.7025880591961298</v>
      </c>
      <c r="F66">
        <f>L66/Performance!$C$36</f>
        <v>2.3435964306499955</v>
      </c>
      <c r="G66">
        <f t="shared" si="5"/>
        <v>2</v>
      </c>
      <c r="H66" s="2">
        <f t="shared" si="7"/>
        <v>71095119818.241074</v>
      </c>
      <c r="I66" s="2">
        <f>IF(OR(G66=1,G66=3),C66*Vehicle!$C$31,0)</f>
        <v>0</v>
      </c>
      <c r="J66" s="2">
        <f>C66*(IF(OR(G66=1,G66=3),Performance!$C$15,0))</f>
        <v>0</v>
      </c>
      <c r="K66" s="2">
        <f>IF(G66=4,0,IF(G66=1,Performance!$C$2*LN($H66/(H66-I66)),$C$26)+IF(G66=3,-1*Performance!$C$2*LN($H66/(H66-I66)),0))</f>
        <v>1298592.6276041667</v>
      </c>
      <c r="L66" s="13">
        <f>IF(G66=4,$E$19,IF(G66=2,C66*$C$26,IF(OR(G66=1,G66=3),(Performance!$C$8/Performance!$C$7)*(H66-(H66-I66-J66)*(LN(H66/(H66-I66-J66))+1)))+IF(G66=2,$G$6)+IF(G66=3,$E$33)))</f>
        <v>350597035805.35956</v>
      </c>
    </row>
    <row r="67" spans="1:12">
      <c r="A67" t="str">
        <f t="shared" si="3"/>
        <v>Day 15</v>
      </c>
      <c r="B67" s="4">
        <f t="shared" si="6"/>
        <v>52107.5</v>
      </c>
      <c r="C67">
        <f t="shared" si="4"/>
        <v>356382.30881087948</v>
      </c>
      <c r="D67">
        <f t="shared" si="0"/>
        <v>0.36440519642758806</v>
      </c>
      <c r="E67">
        <f t="shared" si="1"/>
        <v>-1.8667302190193875</v>
      </c>
      <c r="F67">
        <f>L67/Performance!$C$36</f>
        <v>3.0935964306499955</v>
      </c>
      <c r="G67">
        <f t="shared" si="5"/>
        <v>2</v>
      </c>
      <c r="H67" s="2">
        <f t="shared" si="7"/>
        <v>71095119818.241074</v>
      </c>
      <c r="I67" s="2">
        <f>IF(OR(G67=1,G67=3),C67*Vehicle!$C$31,0)</f>
        <v>0</v>
      </c>
      <c r="J67" s="2">
        <f>C67*(IF(OR(G67=1,G67=3),Performance!$C$15,0))</f>
        <v>0</v>
      </c>
      <c r="K67" s="2">
        <f>IF(G67=4,0,IF(G67=1,Performance!$C$2*LN($H67/(H67-I67)),$C$26)+IF(G67=3,-1*Performance!$C$2*LN($H67/(H67-I67)),0))</f>
        <v>1298592.6276041667</v>
      </c>
      <c r="L67" s="13">
        <f>IF(G67=4,$E$19,IF(G67=2,C67*$C$26,IF(OR(G67=1,G67=3),(Performance!$C$8/Performance!$C$7)*(H67-(H67-I67-J67)*(LN(H67/(H67-I67-J67))+1)))+IF(G67=2,$G$6)+IF(G67=3,$E$33)))</f>
        <v>462795438830.35956</v>
      </c>
    </row>
    <row r="68" spans="1:12">
      <c r="A68" t="str">
        <f t="shared" si="3"/>
        <v>Day 16</v>
      </c>
      <c r="B68" s="4">
        <f t="shared" si="6"/>
        <v>52108.5</v>
      </c>
      <c r="C68">
        <f t="shared" si="4"/>
        <v>442782.30881087948</v>
      </c>
      <c r="D68">
        <f t="shared" si="0"/>
        <v>1.0962230367188432</v>
      </c>
      <c r="E68">
        <f t="shared" si="1"/>
        <v>-2.0308723788426453</v>
      </c>
      <c r="F68">
        <f>L68/Performance!$C$36</f>
        <v>3.8435964306499959</v>
      </c>
      <c r="G68">
        <f t="shared" si="5"/>
        <v>2</v>
      </c>
      <c r="H68" s="2">
        <f t="shared" si="7"/>
        <v>71095119818.241074</v>
      </c>
      <c r="I68" s="2">
        <f>IF(OR(G68=1,G68=3),C68*Vehicle!$C$31,0)</f>
        <v>0</v>
      </c>
      <c r="J68" s="2">
        <f>C68*(IF(OR(G68=1,G68=3),Performance!$C$15,0))</f>
        <v>0</v>
      </c>
      <c r="K68" s="2">
        <f>IF(G68=4,0,IF(G68=1,Performance!$C$2*LN($H68/(H68-I68)),$C$26)+IF(G68=3,-1*Performance!$C$2*LN($H68/(H68-I68)),0))</f>
        <v>1298592.6276041667</v>
      </c>
      <c r="L68" s="13">
        <f>IF(G68=4,$E$19,IF(G68=2,C68*$C$26,IF(OR(G68=1,G68=3),(Performance!$C$8/Performance!$C$7)*(H68-(H68-I68-J68)*(LN(H68/(H68-I68-J68))+1)))+IF(G68=2,$G$6)+IF(G68=3,$E$33)))</f>
        <v>574993841855.35962</v>
      </c>
    </row>
    <row r="69" spans="1:12">
      <c r="A69" t="str">
        <f t="shared" si="3"/>
        <v>Day 17</v>
      </c>
      <c r="B69" s="4">
        <f t="shared" si="6"/>
        <v>52109.5</v>
      </c>
      <c r="C69">
        <f t="shared" si="4"/>
        <v>529182.30881087948</v>
      </c>
      <c r="D69">
        <f t="shared" si="0"/>
        <v>1.8280408770100984</v>
      </c>
      <c r="E69">
        <f t="shared" si="1"/>
        <v>-2.195014538665903</v>
      </c>
      <c r="F69">
        <f>L69/Performance!$C$36</f>
        <v>4.5935964306499963</v>
      </c>
      <c r="G69">
        <f t="shared" si="5"/>
        <v>2</v>
      </c>
      <c r="H69" s="2">
        <f t="shared" si="7"/>
        <v>71095119818.241074</v>
      </c>
      <c r="I69" s="2">
        <f>IF(OR(G69=1,G69=3),C69*Vehicle!$C$31,0)</f>
        <v>0</v>
      </c>
      <c r="J69" s="2">
        <f>C69*(IF(OR(G69=1,G69=3),Performance!$C$15,0))</f>
        <v>0</v>
      </c>
      <c r="K69" s="2">
        <f>IF(G69=4,0,IF(G69=1,Performance!$C$2*LN($H69/(H69-I69)),$C$26)+IF(G69=3,-1*Performance!$C$2*LN($H69/(H69-I69)),0))</f>
        <v>1298592.6276041667</v>
      </c>
      <c r="L69" s="13">
        <f>IF(G69=4,$E$19,IF(G69=2,C69*$C$26,IF(OR(G69=1,G69=3),(Performance!$C$8/Performance!$C$7)*(H69-(H69-I69-J69)*(LN(H69/(H69-I69-J69))+1)))+IF(G69=2,$G$6)+IF(G69=3,$E$33)))</f>
        <v>687192244880.35962</v>
      </c>
    </row>
    <row r="70" spans="1:12">
      <c r="A70" t="str">
        <f t="shared" si="3"/>
        <v>Day 18</v>
      </c>
      <c r="B70" s="4">
        <f t="shared" si="6"/>
        <v>52110.5</v>
      </c>
      <c r="C70">
        <f t="shared" si="4"/>
        <v>615582.30881087948</v>
      </c>
      <c r="D70">
        <f t="shared" si="0"/>
        <v>2.5598587173013532</v>
      </c>
      <c r="E70">
        <f t="shared" si="1"/>
        <v>-2.3591566984891603</v>
      </c>
      <c r="F70">
        <f>L70/Performance!$C$36</f>
        <v>5.3435964306499963</v>
      </c>
      <c r="G70">
        <f t="shared" si="5"/>
        <v>2</v>
      </c>
      <c r="H70" s="2">
        <f t="shared" si="7"/>
        <v>71095119818.241074</v>
      </c>
      <c r="I70" s="2">
        <f>IF(OR(G70=1,G70=3),C70*Vehicle!$C$31,0)</f>
        <v>0</v>
      </c>
      <c r="J70" s="2">
        <f>C70*(IF(OR(G70=1,G70=3),Performance!$C$15,0))</f>
        <v>0</v>
      </c>
      <c r="K70" s="2">
        <f>IF(G70=4,0,IF(G70=1,Performance!$C$2*LN($H70/(H70-I70)),$C$26)+IF(G70=3,-1*Performance!$C$2*LN($H70/(H70-I70)),0))</f>
        <v>1298592.6276041667</v>
      </c>
      <c r="L70" s="13">
        <f>IF(G70=4,$E$19,IF(G70=2,C70*$C$26,IF(OR(G70=1,G70=3),(Performance!$C$8/Performance!$C$7)*(H70-(H70-I70-J70)*(LN(H70/(H70-I70-J70))+1)))+IF(G70=2,$G$6)+IF(G70=3,$E$33)))</f>
        <v>799390647905.35962</v>
      </c>
    </row>
    <row r="71" spans="1:12">
      <c r="A71" t="str">
        <f t="shared" si="3"/>
        <v>Day 25</v>
      </c>
      <c r="B71" s="4">
        <f t="shared" si="6"/>
        <v>52117.5</v>
      </c>
      <c r="C71">
        <f t="shared" si="4"/>
        <v>1220382.3088108795</v>
      </c>
      <c r="D71">
        <f t="shared" si="0"/>
        <v>7.6825835993401341</v>
      </c>
      <c r="E71">
        <f t="shared" si="1"/>
        <v>-3.5081518172519641</v>
      </c>
      <c r="F71">
        <f>L71/Performance!$C$36</f>
        <v>10.593596430649995</v>
      </c>
      <c r="G71">
        <f t="shared" si="5"/>
        <v>2</v>
      </c>
      <c r="H71" s="2">
        <f t="shared" si="7"/>
        <v>71095119818.241074</v>
      </c>
      <c r="I71" s="2">
        <f>IF(OR(G71=1,G71=3),C71*Vehicle!$C$31,0)</f>
        <v>0</v>
      </c>
      <c r="J71" s="2">
        <f>C71*(IF(OR(G71=1,G71=3),Performance!$C$15,0))</f>
        <v>0</v>
      </c>
      <c r="K71" s="2">
        <f>IF(G71=4,0,IF(G71=1,Performance!$C$2*LN($H71/(H71-I71)),$C$26)+IF(G71=3,-1*Performance!$C$2*LN($H71/(H71-I71)),0))</f>
        <v>1298592.6276041667</v>
      </c>
      <c r="L71" s="13">
        <f>IF(G71=4,$E$19,IF(G71=2,C71*$C$26,IF(OR(G71=1,G71=3),(Performance!$C$8/Performance!$C$7)*(H71-(H71-I71-J71)*(LN(H71/(H71-I71-J71))+1)))+IF(G71=2,$G$6)+IF(G71=3,$E$33)))</f>
        <v>1584779469080.3596</v>
      </c>
    </row>
    <row r="72" spans="1:12">
      <c r="A72" t="str">
        <f t="shared" si="3"/>
        <v>Day 32</v>
      </c>
      <c r="B72" s="4">
        <f t="shared" si="6"/>
        <v>52124.5</v>
      </c>
      <c r="C72">
        <f t="shared" si="4"/>
        <v>1825182.3088108795</v>
      </c>
      <c r="D72">
        <f t="shared" si="0"/>
        <v>12.805308481378917</v>
      </c>
      <c r="E72">
        <f t="shared" si="1"/>
        <v>-4.6571469360147679</v>
      </c>
      <c r="F72">
        <f>L72/Performance!$C$36</f>
        <v>15.843596430649997</v>
      </c>
      <c r="G72">
        <f t="shared" si="5"/>
        <v>2</v>
      </c>
      <c r="H72" s="2">
        <f t="shared" si="7"/>
        <v>71095119818.241074</v>
      </c>
      <c r="I72" s="2">
        <f>IF(OR(G72=1,G72=3),C72*Vehicle!$C$31,0)</f>
        <v>0</v>
      </c>
      <c r="J72" s="2">
        <f>C72*(IF(OR(G72=1,G72=3),Performance!$C$15,0))</f>
        <v>0</v>
      </c>
      <c r="K72" s="2">
        <f>IF(G72=4,0,IF(G72=1,Performance!$C$2*LN($H72/(H72-I72)),$C$26)+IF(G72=3,-1*Performance!$C$2*LN($H72/(H72-I72)),0))</f>
        <v>1298592.6276041667</v>
      </c>
      <c r="L72" s="13">
        <f>IF(G72=4,$E$19,IF(G72=2,C72*$C$26,IF(OR(G72=1,G72=3),(Performance!$C$8/Performance!$C$7)*(H72-(H72-I72-J72)*(LN(H72/(H72-I72-J72))+1)))+IF(G72=2,$G$6)+IF(G72=3,$E$33)))</f>
        <v>2370168290255.3599</v>
      </c>
    </row>
    <row r="73" spans="1:12">
      <c r="A73" t="str">
        <f t="shared" si="3"/>
        <v>Day 39</v>
      </c>
      <c r="B73" s="4">
        <f t="shared" si="6"/>
        <v>52131.5</v>
      </c>
      <c r="C73">
        <f t="shared" si="4"/>
        <v>2429982.3088108795</v>
      </c>
      <c r="D73">
        <f t="shared" si="0"/>
        <v>17.9280333634177</v>
      </c>
      <c r="E73">
        <f t="shared" si="1"/>
        <v>-5.8061420547775722</v>
      </c>
      <c r="F73">
        <f>L73/Performance!$C$36</f>
        <v>21.093596430649999</v>
      </c>
      <c r="G73">
        <f t="shared" si="5"/>
        <v>2</v>
      </c>
      <c r="H73" s="2">
        <f t="shared" si="7"/>
        <v>71095119818.241074</v>
      </c>
      <c r="I73" s="2">
        <f>IF(OR(G73=1,G73=3),C73*Vehicle!$C$31,0)</f>
        <v>0</v>
      </c>
      <c r="J73" s="2">
        <f>C73*(IF(OR(G73=1,G73=3),Performance!$C$15,0))</f>
        <v>0</v>
      </c>
      <c r="K73" s="2">
        <f>IF(G73=4,0,IF(G73=1,Performance!$C$2*LN($H73/(H73-I73)),$C$26)+IF(G73=3,-1*Performance!$C$2*LN($H73/(H73-I73)),0))</f>
        <v>1298592.6276041667</v>
      </c>
      <c r="L73" s="13">
        <f>IF(G73=4,$E$19,IF(G73=2,C73*$C$26,IF(OR(G73=1,G73=3),(Performance!$C$8/Performance!$C$7)*(H73-(H73-I73-J73)*(LN(H73/(H73-I73-J73))+1)))+IF(G73=2,$G$6)+IF(G73=3,$E$33)))</f>
        <v>3155557111430.3599</v>
      </c>
    </row>
    <row r="74" spans="1:12">
      <c r="A74" t="str">
        <f t="shared" si="3"/>
        <v>Day 40</v>
      </c>
      <c r="B74" s="4">
        <f t="shared" si="6"/>
        <v>52132.5</v>
      </c>
      <c r="C74">
        <f t="shared" si="4"/>
        <v>2516382.3088108795</v>
      </c>
      <c r="D74">
        <f t="shared" si="0"/>
        <v>18.659851203708957</v>
      </c>
      <c r="E74">
        <f t="shared" si="1"/>
        <v>-5.9702842146008299</v>
      </c>
      <c r="F74">
        <f>L74/Performance!$C$36</f>
        <v>21.843596430649999</v>
      </c>
      <c r="G74">
        <f t="shared" si="5"/>
        <v>2</v>
      </c>
      <c r="H74" s="2">
        <f t="shared" si="7"/>
        <v>71095119818.241074</v>
      </c>
      <c r="I74" s="2">
        <f>IF(OR(G74=1,G74=3),C74*Vehicle!$C$31,0)</f>
        <v>0</v>
      </c>
      <c r="J74" s="2">
        <f>C74*(IF(OR(G74=1,G74=3),Performance!$C$15,0))</f>
        <v>0</v>
      </c>
      <c r="K74" s="2">
        <f>IF(G74=4,0,IF(G74=1,Performance!$C$2*LN($H74/(H74-I74)),$C$26)+IF(G74=3,-1*Performance!$C$2*LN($H74/(H74-I74)),0))</f>
        <v>1298592.6276041667</v>
      </c>
      <c r="L74" s="13">
        <f>IF(G74=4,$E$19,IF(G74=2,C74*$C$26,IF(OR(G74=1,G74=3),(Performance!$C$8/Performance!$C$7)*(H74-(H74-I74-J74)*(LN(H74/(H74-I74-J74))+1)))+IF(G74=2,$G$6)+IF(G74=3,$E$33)))</f>
        <v>3267755514455.3599</v>
      </c>
    </row>
    <row r="75" spans="1:12">
      <c r="A75" t="str">
        <f t="shared" si="3"/>
        <v>Day 41</v>
      </c>
      <c r="B75" s="4">
        <f t="shared" si="6"/>
        <v>52133.5</v>
      </c>
      <c r="C75">
        <f t="shared" si="4"/>
        <v>61549.916802579537</v>
      </c>
      <c r="D75">
        <f t="shared" si="0"/>
        <v>18.870334238661592</v>
      </c>
      <c r="E75">
        <f t="shared" si="1"/>
        <v>-6.0174942415517032</v>
      </c>
      <c r="F75">
        <f>L75/Performance!$C$36</f>
        <v>22.059308958444689</v>
      </c>
      <c r="G75">
        <f t="shared" si="5"/>
        <v>3</v>
      </c>
      <c r="H75" s="2">
        <f t="shared" si="7"/>
        <v>71095119818.241074</v>
      </c>
      <c r="I75" s="2">
        <f>IF(OR(G75=1,G75=3),C75*Vehicle!$C$31,0)</f>
        <v>0</v>
      </c>
      <c r="J75" s="2">
        <f>C75*(IF(OR(G75=1,G75=3),Performance!$C$15,0))</f>
        <v>18240.229419815816</v>
      </c>
      <c r="K75" s="2">
        <f>IF(G75=4,0,IF(G75=1,Performance!$C$2*LN($H75/(H75-I75)),$C$26)+IF(G75=3,-1*Performance!$C$2*LN($H75/(H75-I75)),0))</f>
        <v>1298592.6276041667</v>
      </c>
      <c r="L75" s="13">
        <f>IF(G75=4,$E$19,IF(G75=2,C75*$C$26,IF(OR(G75=1,G75=3),(Performance!$C$8/Performance!$C$7)*(H75-(H75-I75-J75)*(LN(H75/(H75-I75-J75))+1)))+IF(G75=2,$G$6)+IF(G75=3,$E$33)))</f>
        <v>3300025649296.7603</v>
      </c>
    </row>
    <row r="76" spans="1:12">
      <c r="A76" t="str">
        <f t="shared" si="3"/>
        <v>Day 42</v>
      </c>
      <c r="B76" s="4">
        <f t="shared" si="6"/>
        <v>52134.5</v>
      </c>
      <c r="C76">
        <f t="shared" si="4"/>
        <v>147949.91680257954</v>
      </c>
      <c r="D76">
        <f t="shared" si="0"/>
        <v>18.870334238840691</v>
      </c>
      <c r="E76">
        <f t="shared" si="1"/>
        <v>-6.0174942415918737</v>
      </c>
      <c r="F76">
        <f>L76/Performance!$C$36</f>
        <v>22.059308958628236</v>
      </c>
      <c r="G76">
        <f t="shared" si="5"/>
        <v>3</v>
      </c>
      <c r="H76" s="2">
        <f t="shared" si="7"/>
        <v>71095119818.241074</v>
      </c>
      <c r="I76" s="2">
        <f>IF(OR(G76=1,G76=3),C76*Vehicle!$C$31,0)</f>
        <v>0</v>
      </c>
      <c r="J76" s="2">
        <f>C76*(IF(OR(G76=1,G76=3),Performance!$C$15,0))</f>
        <v>43844.745294742861</v>
      </c>
      <c r="K76" s="2">
        <f>IF(G76=4,0,IF(G76=1,Performance!$C$2*LN($H76/(H76-I76)),$C$26)+IF(G76=3,-1*Performance!$C$2*LN($H76/(H76-I76)),0))</f>
        <v>1298592.6276041667</v>
      </c>
      <c r="L76" s="13">
        <f>IF(G76=4,$E$19,IF(G76=2,C76*$C$26,IF(OR(G76=1,G76=3),(Performance!$C$8/Performance!$C$7)*(H76-(H76-I76-J76)*(LN(H76/(H76-I76-J76))+1)))+IF(G76=2,$G$6)+IF(G76=3,$E$33)))</f>
        <v>3300025649324.2183</v>
      </c>
    </row>
    <row r="77" spans="1:12">
      <c r="A77" t="str">
        <f t="shared" si="3"/>
        <v>Day 43</v>
      </c>
      <c r="B77" s="4">
        <f t="shared" si="6"/>
        <v>52135.5</v>
      </c>
      <c r="C77">
        <f t="shared" si="4"/>
        <v>234349.91680257954</v>
      </c>
      <c r="D77">
        <f t="shared" si="0"/>
        <v>18.8703342391678</v>
      </c>
      <c r="E77">
        <f t="shared" si="1"/>
        <v>-6.0174942416652426</v>
      </c>
      <c r="F77">
        <f>L77/Performance!$C$36</f>
        <v>22.059308958963474</v>
      </c>
      <c r="G77">
        <f t="shared" si="5"/>
        <v>3</v>
      </c>
      <c r="H77" s="2">
        <f t="shared" si="7"/>
        <v>71095119818.241074</v>
      </c>
      <c r="I77" s="2">
        <f>IF(OR(G77=1,G77=3),C77*Vehicle!$C$31,0)</f>
        <v>0</v>
      </c>
      <c r="J77" s="2">
        <f>C77*(IF(OR(G77=1,G77=3),Performance!$C$15,0))</f>
        <v>69449.261169669902</v>
      </c>
      <c r="K77" s="2">
        <f>IF(G77=4,0,IF(G77=1,Performance!$C$2*LN($H77/(H77-I77)),$C$26)+IF(G77=3,-1*Performance!$C$2*LN($H77/(H77-I77)),0))</f>
        <v>1298592.6276041667</v>
      </c>
      <c r="L77" s="13">
        <f>IF(G77=4,$E$19,IF(G77=2,C77*$C$26,IF(OR(G77=1,G77=3),(Performance!$C$8/Performance!$C$7)*(H77-(H77-I77-J77)*(LN(H77/(H77-I77-J77))+1)))+IF(G77=2,$G$6)+IF(G77=3,$E$33)))</f>
        <v>3300025649374.3691</v>
      </c>
    </row>
    <row r="78" spans="1:12">
      <c r="A78" t="str">
        <f t="shared" si="3"/>
        <v>Day 44</v>
      </c>
      <c r="B78" s="4">
        <f t="shared" si="6"/>
        <v>52136.5</v>
      </c>
      <c r="C78">
        <f t="shared" si="4"/>
        <v>320749.91680257954</v>
      </c>
      <c r="D78">
        <f t="shared" si="0"/>
        <v>18.870334239642933</v>
      </c>
      <c r="E78">
        <f t="shared" si="1"/>
        <v>-6.0174942417718116</v>
      </c>
      <c r="F78">
        <f>L78/Performance!$C$36</f>
        <v>22.059308959450412</v>
      </c>
      <c r="G78">
        <f t="shared" si="5"/>
        <v>3</v>
      </c>
      <c r="H78" s="2">
        <f t="shared" si="7"/>
        <v>71095119818.241074</v>
      </c>
      <c r="I78" s="2">
        <f>IF(OR(G78=1,G78=3),C78*Vehicle!$C$31,0)</f>
        <v>0</v>
      </c>
      <c r="J78" s="2">
        <f>C78*(IF(OR(G78=1,G78=3),Performance!$C$15,0))</f>
        <v>95053.777044596951</v>
      </c>
      <c r="K78" s="2">
        <f>IF(G78=4,0,IF(G78=1,Performance!$C$2*LN($H78/(H78-I78)),$C$26)+IF(G78=3,-1*Performance!$C$2*LN($H78/(H78-I78)),0))</f>
        <v>1298592.6276041667</v>
      </c>
      <c r="L78" s="13">
        <f>IF(G78=4,$E$19,IF(G78=2,C78*$C$26,IF(OR(G78=1,G78=3),(Performance!$C$8/Performance!$C$7)*(H78-(H78-I78-J78)*(LN(H78/(H78-I78-J78))+1)))+IF(G78=2,$G$6)+IF(G78=3,$E$33)))</f>
        <v>3300025649447.2144</v>
      </c>
    </row>
    <row r="79" spans="1:12">
      <c r="A79" t="str">
        <f t="shared" si="3"/>
        <v>Day 45</v>
      </c>
      <c r="B79" s="4">
        <f t="shared" si="6"/>
        <v>52137.5</v>
      </c>
      <c r="C79">
        <f t="shared" si="4"/>
        <v>407149.91680257954</v>
      </c>
      <c r="D79">
        <f t="shared" si="0"/>
        <v>18.870334240265844</v>
      </c>
      <c r="E79">
        <f t="shared" si="1"/>
        <v>-6.0174942419115265</v>
      </c>
      <c r="F79">
        <f>L79/Performance!$C$36</f>
        <v>22.059308960088799</v>
      </c>
      <c r="G79">
        <f t="shared" si="5"/>
        <v>3</v>
      </c>
      <c r="H79" s="2">
        <f t="shared" si="7"/>
        <v>71095119818.241074</v>
      </c>
      <c r="I79" s="2">
        <f>IF(OR(G79=1,G79=3),C79*Vehicle!$C$31,0)</f>
        <v>0</v>
      </c>
      <c r="J79" s="2">
        <f>C79*(IF(OR(G79=1,G79=3),Performance!$C$15,0))</f>
        <v>120658.292919524</v>
      </c>
      <c r="K79" s="2">
        <f>IF(G79=4,0,IF(G79=1,Performance!$C$2*LN($H79/(H79-I79)),$C$26)+IF(G79=3,-1*Performance!$C$2*LN($H79/(H79-I79)),0))</f>
        <v>1298592.6276041667</v>
      </c>
      <c r="L79" s="13">
        <f>IF(G79=4,$E$19,IF(G79=2,C79*$C$26,IF(OR(G79=1,G79=3),(Performance!$C$8/Performance!$C$7)*(H79-(H79-I79-J79)*(LN(H79/(H79-I79-J79))+1)))+IF(G79=2,$G$6)+IF(G79=3,$E$33)))</f>
        <v>3300025649542.7158</v>
      </c>
    </row>
    <row r="80" spans="1:12">
      <c r="A80" t="str">
        <f t="shared" si="3"/>
        <v>Day 46</v>
      </c>
      <c r="B80" s="4">
        <f t="shared" si="6"/>
        <v>52138.5</v>
      </c>
      <c r="C80">
        <f t="shared" si="4"/>
        <v>493549.91680257954</v>
      </c>
      <c r="D80">
        <f t="shared" si="0"/>
        <v>18.870334241036531</v>
      </c>
      <c r="E80">
        <f t="shared" si="1"/>
        <v>-6.0174942420843864</v>
      </c>
      <c r="F80">
        <f>L80/Performance!$C$36</f>
        <v>22.059308960878631</v>
      </c>
      <c r="G80">
        <f t="shared" si="5"/>
        <v>3</v>
      </c>
      <c r="H80" s="2">
        <f t="shared" si="7"/>
        <v>71095119818.241074</v>
      </c>
      <c r="I80" s="2">
        <f>IF(OR(G80=1,G80=3),C80*Vehicle!$C$31,0)</f>
        <v>0</v>
      </c>
      <c r="J80" s="2">
        <f>C80*(IF(OR(G80=1,G80=3),Performance!$C$15,0))</f>
        <v>146262.80879445103</v>
      </c>
      <c r="K80" s="2">
        <f>IF(G80=4,0,IF(G80=1,Performance!$C$2*LN($H80/(H80-I80)),$C$26)+IF(G80=3,-1*Performance!$C$2*LN($H80/(H80-I80)),0))</f>
        <v>1298592.6276041667</v>
      </c>
      <c r="L80" s="13">
        <f>IF(G80=4,$E$19,IF(G80=2,C80*$C$26,IF(OR(G80=1,G80=3),(Performance!$C$8/Performance!$C$7)*(H80-(H80-I80-J80)*(LN(H80/(H80-I80-J80))+1)))+IF(G80=2,$G$6)+IF(G80=3,$E$33)))</f>
        <v>3300025649660.873</v>
      </c>
    </row>
    <row r="81" spans="1:12">
      <c r="A81" t="str">
        <f t="shared" si="3"/>
        <v>Day 47</v>
      </c>
      <c r="B81" s="4">
        <f t="shared" si="6"/>
        <v>52139.5</v>
      </c>
      <c r="C81">
        <f t="shared" si="4"/>
        <v>579949.91680257954</v>
      </c>
      <c r="D81">
        <f t="shared" si="0"/>
        <v>18.870334241954748</v>
      </c>
      <c r="E81">
        <f t="shared" si="1"/>
        <v>-6.0174942422903372</v>
      </c>
      <c r="F81">
        <f>L81/Performance!$C$36</f>
        <v>22.059308961819664</v>
      </c>
      <c r="G81">
        <f t="shared" si="5"/>
        <v>3</v>
      </c>
      <c r="H81" s="2">
        <f t="shared" si="7"/>
        <v>71095119818.241074</v>
      </c>
      <c r="I81" s="2">
        <f>IF(OR(G81=1,G81=3),C81*Vehicle!$C$31,0)</f>
        <v>0</v>
      </c>
      <c r="J81" s="2">
        <f>C81*(IF(OR(G81=1,G81=3),Performance!$C$15,0))</f>
        <v>171867.32466937808</v>
      </c>
      <c r="K81" s="2">
        <f>IF(G81=4,0,IF(G81=1,Performance!$C$2*LN($H81/(H81-I81)),$C$26)+IF(G81=3,-1*Performance!$C$2*LN($H81/(H81-I81)),0))</f>
        <v>1298592.6276041667</v>
      </c>
      <c r="L81" s="13">
        <f>IF(G81=4,$E$19,IF(G81=2,C81*$C$26,IF(OR(G81=1,G81=3),(Performance!$C$8/Performance!$C$7)*(H81-(H81-I81-J81)*(LN(H81/(H81-I81-J81))+1)))+IF(G81=2,$G$6)+IF(G81=3,$E$33)))</f>
        <v>3300025649801.6494</v>
      </c>
    </row>
    <row r="82" spans="1:12">
      <c r="A82" t="str">
        <f t="shared" si="3"/>
        <v>Day 48</v>
      </c>
      <c r="B82" s="4">
        <f t="shared" si="6"/>
        <v>52140.5</v>
      </c>
      <c r="C82">
        <f t="shared" si="4"/>
        <v>666349.91680257954</v>
      </c>
      <c r="D82">
        <f t="shared" si="0"/>
        <v>18.870334243020991</v>
      </c>
      <c r="E82">
        <f t="shared" si="1"/>
        <v>-6.0174942425294891</v>
      </c>
      <c r="F82">
        <f>L82/Performance!$C$36</f>
        <v>22.059308962912397</v>
      </c>
      <c r="G82">
        <f t="shared" si="5"/>
        <v>3</v>
      </c>
      <c r="H82" s="2">
        <f t="shared" si="7"/>
        <v>71095119818.241074</v>
      </c>
      <c r="I82" s="2">
        <f>IF(OR(G82=1,G82=3),C82*Vehicle!$C$31,0)</f>
        <v>0</v>
      </c>
      <c r="J82" s="2">
        <f>C82*(IF(OR(G82=1,G82=3),Performance!$C$15,0))</f>
        <v>197471.84054430513</v>
      </c>
      <c r="K82" s="2">
        <f>IF(G82=4,0,IF(G82=1,Performance!$C$2*LN($H82/(H82-I82)),$C$26)+IF(G82=3,-1*Performance!$C$2*LN($H82/(H82-I82)),0))</f>
        <v>1298592.6276041667</v>
      </c>
      <c r="L82" s="13">
        <f>IF(G82=4,$E$19,IF(G82=2,C82*$C$26,IF(OR(G82=1,G82=3),(Performance!$C$8/Performance!$C$7)*(H82-(H82-I82-J82)*(LN(H82/(H82-I82-J82))+1)))+IF(G82=2,$G$6)+IF(G82=3,$E$33)))</f>
        <v>3300025649965.1196</v>
      </c>
    </row>
    <row r="83" spans="1:12">
      <c r="A83" t="str">
        <f t="shared" si="3"/>
        <v>Day 49</v>
      </c>
      <c r="B83" s="4">
        <f t="shared" si="6"/>
        <v>52141.5</v>
      </c>
      <c r="C83">
        <f t="shared" si="4"/>
        <v>752749.91680257954</v>
      </c>
      <c r="D83">
        <f t="shared" si="0"/>
        <v>18.87033424423549</v>
      </c>
      <c r="E83">
        <f t="shared" si="1"/>
        <v>-6.0174942428018934</v>
      </c>
      <c r="F83">
        <f>L83/Performance!$C$36</f>
        <v>22.059308964157072</v>
      </c>
      <c r="G83">
        <f t="shared" si="5"/>
        <v>3</v>
      </c>
      <c r="H83" s="2">
        <f t="shared" si="7"/>
        <v>71095119818.241074</v>
      </c>
      <c r="I83" s="2">
        <f>IF(OR(G83=1,G83=3),C83*Vehicle!$C$31,0)</f>
        <v>0</v>
      </c>
      <c r="J83" s="2">
        <f>C83*(IF(OR(G83=1,G83=3),Performance!$C$15,0))</f>
        <v>223076.35641923218</v>
      </c>
      <c r="K83" s="2">
        <f>IF(G83=4,0,IF(G83=1,Performance!$C$2*LN($H83/(H83-I83)),$C$26)+IF(G83=3,-1*Performance!$C$2*LN($H83/(H83-I83)),0))</f>
        <v>1298592.6276041667</v>
      </c>
      <c r="L83" s="13">
        <f>IF(G83=4,$E$19,IF(G83=2,C83*$C$26,IF(OR(G83=1,G83=3),(Performance!$C$8/Performance!$C$7)*(H83-(H83-I83-J83)*(LN(H83/(H83-I83-J83))+1)))+IF(G83=2,$G$6)+IF(G83=3,$E$33)))</f>
        <v>3300025650151.3208</v>
      </c>
    </row>
    <row r="84" spans="1:12">
      <c r="A84" t="str">
        <f t="shared" si="3"/>
        <v>Day 50</v>
      </c>
      <c r="B84" s="4">
        <f t="shared" si="6"/>
        <v>52142.5</v>
      </c>
      <c r="C84">
        <f t="shared" si="4"/>
        <v>839149.91680257954</v>
      </c>
      <c r="D84">
        <f t="shared" ref="D84:D104" si="8">$C$17+COS($C$21)*$F84</f>
        <v>18.870334245597526</v>
      </c>
      <c r="E84">
        <f t="shared" ref="E84:E104" si="9">$E$17+SIN($C$21)*$F84</f>
        <v>-6.0174942431073895</v>
      </c>
      <c r="F84">
        <f>L84/Performance!$C$36</f>
        <v>22.059308965552948</v>
      </c>
      <c r="G84">
        <f t="shared" si="5"/>
        <v>3</v>
      </c>
      <c r="H84" s="2">
        <f t="shared" si="7"/>
        <v>71095119818.241074</v>
      </c>
      <c r="I84" s="2">
        <f>IF(OR(G84=1,G84=3),C84*Vehicle!$C$31,0)</f>
        <v>0</v>
      </c>
      <c r="J84" s="2">
        <f>C84*(IF(OR(G84=1,G84=3),Performance!$C$15,0))</f>
        <v>248680.87229415923</v>
      </c>
      <c r="K84" s="2">
        <f>IF(G84=4,0,IF(G84=1,Performance!$C$2*LN($H84/(H84-I84)),$C$26)+IF(G84=3,-1*Performance!$C$2*LN($H84/(H84-I84)),0))</f>
        <v>1298592.6276041667</v>
      </c>
      <c r="L84" s="13">
        <f>IF(G84=4,$E$19,IF(G84=2,C84*$C$26,IF(OR(G84=1,G84=3),(Performance!$C$8/Performance!$C$7)*(H84-(H84-I84-J84)*(LN(H84/(H84-I84-J84))+1)))+IF(G84=2,$G$6)+IF(G84=3,$E$33)))</f>
        <v>3300025650360.1406</v>
      </c>
    </row>
    <row r="85" spans="1:12">
      <c r="A85" t="str">
        <f t="shared" si="3"/>
        <v>Day 51</v>
      </c>
      <c r="B85" s="4">
        <f t="shared" si="6"/>
        <v>52143.5</v>
      </c>
      <c r="C85">
        <f t="shared" si="4"/>
        <v>72963.446542178281</v>
      </c>
      <c r="D85">
        <f t="shared" si="8"/>
        <v>29.482333607230895</v>
      </c>
      <c r="E85">
        <f t="shared" si="9"/>
        <v>-8.3976992604765854</v>
      </c>
      <c r="F85">
        <f>L85/Performance!$C$36</f>
        <v>32.934965560720734</v>
      </c>
      <c r="G85">
        <f t="shared" si="5"/>
        <v>4</v>
      </c>
      <c r="H85" s="2">
        <f t="shared" si="7"/>
        <v>64510000000</v>
      </c>
      <c r="I85" s="2">
        <f>IF(OR(G85=1,G85=3),C85*Vehicle!$C$31,0)</f>
        <v>0</v>
      </c>
      <c r="J85" s="2">
        <f>C85*(IF(OR(G85=1,G85=3),Performance!$C$15,0))</f>
        <v>0</v>
      </c>
      <c r="K85" s="2">
        <f>IF(G85=4,0,IF(G85=1,Performance!$C$2*LN($H85/(H85-I85)),$C$26)+IF(G85=3,-1*Performance!$C$2*LN($H85/(H85-I85)),0))</f>
        <v>0</v>
      </c>
      <c r="L85" s="13">
        <f>IF(G85=4,$E$19,IF(G85=2,C85*$C$26,IF(OR(G85=1,G85=3),(Performance!$C$8/Performance!$C$7)*(H85-(H85-I85-J85)*(LN(H85/(H85-I85-J85))+1)))+IF(G85=2,$G$6)+IF(G85=3,$E$33)))</f>
        <v>4927000719461.6533</v>
      </c>
    </row>
    <row r="86" spans="1:12">
      <c r="A86" t="str">
        <f t="shared" si="3"/>
        <v>Day 52</v>
      </c>
      <c r="B86" s="4">
        <f t="shared" si="6"/>
        <v>52144.5</v>
      </c>
      <c r="C86">
        <f t="shared" si="4"/>
        <v>159363.44654217828</v>
      </c>
      <c r="D86">
        <f t="shared" si="8"/>
        <v>29.482333607230895</v>
      </c>
      <c r="E86">
        <f t="shared" si="9"/>
        <v>-8.3976992604765854</v>
      </c>
      <c r="F86">
        <f>L86/Performance!$C$36</f>
        <v>32.934965560720734</v>
      </c>
      <c r="G86">
        <f t="shared" si="5"/>
        <v>4</v>
      </c>
      <c r="H86" s="2">
        <f t="shared" si="7"/>
        <v>64510000000</v>
      </c>
      <c r="I86" s="2">
        <f>IF(OR(G86=1,G86=3),C86*Vehicle!$C$31,0)</f>
        <v>0</v>
      </c>
      <c r="J86" s="2">
        <f>C86*(IF(OR(G86=1,G86=3),Performance!$C$15,0))</f>
        <v>0</v>
      </c>
      <c r="K86" s="2">
        <f>IF(G86=4,0,IF(G86=1,Performance!$C$2*LN($H86/(H86-I86)),$C$26)+IF(G86=3,-1*Performance!$C$2*LN($H86/(H86-I86)),0))</f>
        <v>0</v>
      </c>
      <c r="L86" s="13">
        <f>IF(G86=4,$E$19,IF(G86=2,C86*$C$26,IF(OR(G86=1,G86=3),(Performance!$C$8/Performance!$C$7)*(H86-(H86-I86-J86)*(LN(H86/(H86-I86-J86))+1)))+IF(G86=2,$G$6)+IF(G86=3,$E$33)))</f>
        <v>4927000719461.6533</v>
      </c>
    </row>
    <row r="87" spans="1:12">
      <c r="A87" t="str">
        <f t="shared" si="3"/>
        <v>Day 53</v>
      </c>
      <c r="B87" s="4">
        <f t="shared" si="6"/>
        <v>52145.5</v>
      </c>
      <c r="C87">
        <f t="shared" si="4"/>
        <v>245763.44654217828</v>
      </c>
      <c r="D87">
        <f t="shared" si="8"/>
        <v>29.482333607230895</v>
      </c>
      <c r="E87">
        <f t="shared" si="9"/>
        <v>-8.3976992604765854</v>
      </c>
      <c r="F87">
        <f>L87/Performance!$C$36</f>
        <v>32.934965560720734</v>
      </c>
      <c r="G87">
        <f t="shared" si="5"/>
        <v>4</v>
      </c>
      <c r="H87" s="2">
        <f t="shared" si="7"/>
        <v>64510000000</v>
      </c>
      <c r="I87" s="2">
        <f>IF(OR(G87=1,G87=3),C87*Vehicle!$C$31,0)</f>
        <v>0</v>
      </c>
      <c r="J87" s="2">
        <f>C87*(IF(OR(G87=1,G87=3),Performance!$C$15,0))</f>
        <v>0</v>
      </c>
      <c r="K87" s="2">
        <f>IF(G87=4,0,IF(G87=1,Performance!$C$2*LN($H87/(H87-I87)),$C$26)+IF(G87=3,-1*Performance!$C$2*LN($H87/(H87-I87)),0))</f>
        <v>0</v>
      </c>
      <c r="L87" s="13">
        <f>IF(G87=4,$E$19,IF(G87=2,C87*$C$26,IF(OR(G87=1,G87=3),(Performance!$C$8/Performance!$C$7)*(H87-(H87-I87-J87)*(LN(H87/(H87-I87-J87))+1)))+IF(G87=2,$G$6)+IF(G87=3,$E$33)))</f>
        <v>4927000719461.6533</v>
      </c>
    </row>
    <row r="88" spans="1:12">
      <c r="A88" t="str">
        <f t="shared" si="3"/>
        <v>Day 54</v>
      </c>
      <c r="B88" s="4">
        <f t="shared" si="6"/>
        <v>52146.5</v>
      </c>
      <c r="C88">
        <f t="shared" si="4"/>
        <v>332163.44654217828</v>
      </c>
      <c r="D88">
        <f t="shared" si="8"/>
        <v>29.482333607230895</v>
      </c>
      <c r="E88">
        <f t="shared" si="9"/>
        <v>-8.3976992604765854</v>
      </c>
      <c r="F88">
        <f>L88/Performance!$C$36</f>
        <v>32.934965560720734</v>
      </c>
      <c r="G88">
        <f t="shared" si="5"/>
        <v>4</v>
      </c>
      <c r="H88" s="2">
        <f t="shared" si="7"/>
        <v>64510000000</v>
      </c>
      <c r="I88" s="2">
        <f>IF(OR(G88=1,G88=3),C88*Vehicle!$C$31,0)</f>
        <v>0</v>
      </c>
      <c r="J88" s="2">
        <f>C88*(IF(OR(G88=1,G88=3),Performance!$C$15,0))</f>
        <v>0</v>
      </c>
      <c r="K88" s="2">
        <f>IF(G88=4,0,IF(G88=1,Performance!$C$2*LN($H88/(H88-I88)),$C$26)+IF(G88=3,-1*Performance!$C$2*LN($H88/(H88-I88)),0))</f>
        <v>0</v>
      </c>
      <c r="L88" s="13">
        <f>IF(G88=4,$E$19,IF(G88=2,C88*$C$26,IF(OR(G88=1,G88=3),(Performance!$C$8/Performance!$C$7)*(H88-(H88-I88-J88)*(LN(H88/(H88-I88-J88))+1)))+IF(G88=2,$G$6)+IF(G88=3,$E$33)))</f>
        <v>4927000719461.6533</v>
      </c>
    </row>
    <row r="89" spans="1:12">
      <c r="A89" t="str">
        <f t="shared" si="3"/>
        <v>Day 55</v>
      </c>
      <c r="B89" s="4">
        <f t="shared" si="6"/>
        <v>52147.5</v>
      </c>
      <c r="C89">
        <f t="shared" si="4"/>
        <v>418563.44654217828</v>
      </c>
      <c r="D89">
        <f t="shared" si="8"/>
        <v>29.482333607230895</v>
      </c>
      <c r="E89">
        <f t="shared" si="9"/>
        <v>-8.3976992604765854</v>
      </c>
      <c r="F89">
        <f>L89/Performance!$C$36</f>
        <v>32.934965560720734</v>
      </c>
      <c r="G89">
        <f t="shared" si="5"/>
        <v>4</v>
      </c>
      <c r="H89" s="2">
        <f t="shared" si="7"/>
        <v>64510000000</v>
      </c>
      <c r="I89" s="2">
        <f>IF(OR(G89=1,G89=3),C89*Vehicle!$C$31,0)</f>
        <v>0</v>
      </c>
      <c r="J89" s="2">
        <f>C89*(IF(OR(G89=1,G89=3),Performance!$C$15,0))</f>
        <v>0</v>
      </c>
      <c r="K89" s="2">
        <f>IF(G89=4,0,IF(G89=1,Performance!$C$2*LN($H89/(H89-I89)),$C$26)+IF(G89=3,-1*Performance!$C$2*LN($H89/(H89-I89)),0))</f>
        <v>0</v>
      </c>
      <c r="L89" s="13">
        <f>IF(G89=4,$E$19,IF(G89=2,C89*$C$26,IF(OR(G89=1,G89=3),(Performance!$C$8/Performance!$C$7)*(H89-(H89-I89-J89)*(LN(H89/(H89-I89-J89))+1)))+IF(G89=2,$G$6)+IF(G89=3,$E$33)))</f>
        <v>4927000719461.6533</v>
      </c>
    </row>
    <row r="90" spans="1:12">
      <c r="A90" t="str">
        <f t="shared" si="3"/>
        <v>Day 56</v>
      </c>
      <c r="B90" s="4">
        <f t="shared" si="6"/>
        <v>52148.5</v>
      </c>
      <c r="C90">
        <f t="shared" si="4"/>
        <v>504963.44654217828</v>
      </c>
      <c r="D90">
        <f t="shared" si="8"/>
        <v>29.482333607230895</v>
      </c>
      <c r="E90">
        <f t="shared" si="9"/>
        <v>-8.3976992604765854</v>
      </c>
      <c r="F90">
        <f>L90/Performance!$C$36</f>
        <v>32.934965560720734</v>
      </c>
      <c r="G90">
        <f t="shared" si="5"/>
        <v>4</v>
      </c>
      <c r="H90" s="2">
        <f t="shared" si="7"/>
        <v>64510000000</v>
      </c>
      <c r="I90" s="2">
        <f>IF(OR(G90=1,G90=3),C90*Vehicle!$C$31,0)</f>
        <v>0</v>
      </c>
      <c r="J90" s="2">
        <f>C90*(IF(OR(G90=1,G90=3),Performance!$C$15,0))</f>
        <v>0</v>
      </c>
      <c r="K90" s="2">
        <f>IF(G90=4,0,IF(G90=1,Performance!$C$2*LN($H90/(H90-I90)),$C$26)+IF(G90=3,-1*Performance!$C$2*LN($H90/(H90-I90)),0))</f>
        <v>0</v>
      </c>
      <c r="L90" s="13">
        <f>IF(G90=4,$E$19,IF(G90=2,C90*$C$26,IF(OR(G90=1,G90=3),(Performance!$C$8/Performance!$C$7)*(H90-(H90-I90-J90)*(LN(H90/(H90-I90-J90))+1)))+IF(G90=2,$G$6)+IF(G90=3,$E$33)))</f>
        <v>4927000719461.6533</v>
      </c>
    </row>
    <row r="91" spans="1:12">
      <c r="A91" t="str">
        <f t="shared" si="3"/>
        <v>Day 57</v>
      </c>
      <c r="B91" s="4">
        <f t="shared" si="6"/>
        <v>52149.5</v>
      </c>
      <c r="C91">
        <f t="shared" si="4"/>
        <v>591363.44654217828</v>
      </c>
      <c r="D91">
        <f t="shared" si="8"/>
        <v>29.482333607230895</v>
      </c>
      <c r="E91">
        <f t="shared" si="9"/>
        <v>-8.3976992604765854</v>
      </c>
      <c r="F91">
        <f>L91/Performance!$C$36</f>
        <v>32.934965560720734</v>
      </c>
      <c r="G91">
        <f t="shared" si="5"/>
        <v>4</v>
      </c>
      <c r="H91" s="2">
        <f t="shared" si="7"/>
        <v>64510000000</v>
      </c>
      <c r="I91" s="2">
        <f>IF(OR(G91=1,G91=3),C91*Vehicle!$C$31,0)</f>
        <v>0</v>
      </c>
      <c r="J91" s="2">
        <f>C91*(IF(OR(G91=1,G91=3),Performance!$C$15,0))</f>
        <v>0</v>
      </c>
      <c r="K91" s="2">
        <f>IF(G91=4,0,IF(G91=1,Performance!$C$2*LN($H91/(H91-I91)),$C$26)+IF(G91=3,-1*Performance!$C$2*LN($H91/(H91-I91)),0))</f>
        <v>0</v>
      </c>
      <c r="L91" s="13">
        <f>IF(G91=4,$E$19,IF(G91=2,C91*$C$26,IF(OR(G91=1,G91=3),(Performance!$C$8/Performance!$C$7)*(H91-(H91-I91-J91)*(LN(H91/(H91-I91-J91))+1)))+IF(G91=2,$G$6)+IF(G91=3,$E$33)))</f>
        <v>4927000719461.6533</v>
      </c>
    </row>
    <row r="92" spans="1:12">
      <c r="A92" t="str">
        <f t="shared" si="3"/>
        <v>Day 58</v>
      </c>
      <c r="B92" s="4">
        <f t="shared" si="6"/>
        <v>52150.5</v>
      </c>
      <c r="C92">
        <f t="shared" si="4"/>
        <v>677763.44654217828</v>
      </c>
      <c r="D92">
        <f t="shared" si="8"/>
        <v>29.482333607230895</v>
      </c>
      <c r="E92">
        <f t="shared" si="9"/>
        <v>-8.3976992604765854</v>
      </c>
      <c r="F92">
        <f>L92/Performance!$C$36</f>
        <v>32.934965560720734</v>
      </c>
      <c r="G92">
        <f t="shared" si="5"/>
        <v>4</v>
      </c>
      <c r="H92" s="2">
        <f t="shared" si="7"/>
        <v>64510000000</v>
      </c>
      <c r="I92" s="2">
        <f>IF(OR(G92=1,G92=3),C92*Vehicle!$C$31,0)</f>
        <v>0</v>
      </c>
      <c r="J92" s="2">
        <f>C92*(IF(OR(G92=1,G92=3),Performance!$C$15,0))</f>
        <v>0</v>
      </c>
      <c r="K92" s="2">
        <f>IF(G92=4,0,IF(G92=1,Performance!$C$2*LN($H92/(H92-I92)),$C$26)+IF(G92=3,-1*Performance!$C$2*LN($H92/(H92-I92)),0))</f>
        <v>0</v>
      </c>
      <c r="L92" s="13">
        <f>IF(G92=4,$E$19,IF(G92=2,C92*$C$26,IF(OR(G92=1,G92=3),(Performance!$C$8/Performance!$C$7)*(H92-(H92-I92-J92)*(LN(H92/(H92-I92-J92))+1)))+IF(G92=2,$G$6)+IF(G92=3,$E$33)))</f>
        <v>4927000719461.6533</v>
      </c>
    </row>
    <row r="93" spans="1:12">
      <c r="A93" t="str">
        <f t="shared" si="3"/>
        <v>Day 59</v>
      </c>
      <c r="B93" s="4">
        <f t="shared" si="6"/>
        <v>52151.5</v>
      </c>
      <c r="C93">
        <f t="shared" si="4"/>
        <v>764163.44654217828</v>
      </c>
      <c r="D93">
        <f t="shared" si="8"/>
        <v>29.482333607230895</v>
      </c>
      <c r="E93">
        <f t="shared" si="9"/>
        <v>-8.3976992604765854</v>
      </c>
      <c r="F93">
        <f>L93/Performance!$C$36</f>
        <v>32.934965560720734</v>
      </c>
      <c r="G93">
        <f t="shared" si="5"/>
        <v>4</v>
      </c>
      <c r="H93" s="2">
        <f t="shared" si="7"/>
        <v>64510000000</v>
      </c>
      <c r="I93" s="2">
        <f>IF(OR(G93=1,G93=3),C93*Vehicle!$C$31,0)</f>
        <v>0</v>
      </c>
      <c r="J93" s="2">
        <f>C93*(IF(OR(G93=1,G93=3),Performance!$C$15,0))</f>
        <v>0</v>
      </c>
      <c r="K93" s="2">
        <f>IF(G93=4,0,IF(G93=1,Performance!$C$2*LN($H93/(H93-I93)),$C$26)+IF(G93=3,-1*Performance!$C$2*LN($H93/(H93-I93)),0))</f>
        <v>0</v>
      </c>
      <c r="L93" s="13">
        <f>IF(G93=4,$E$19,IF(G93=2,C93*$C$26,IF(OR(G93=1,G93=3),(Performance!$C$8/Performance!$C$7)*(H93-(H93-I93-J93)*(LN(H93/(H93-I93-J93))+1)))+IF(G93=2,$G$6)+IF(G93=3,$E$33)))</f>
        <v>4927000719461.6533</v>
      </c>
    </row>
    <row r="94" spans="1:12">
      <c r="A94" t="str">
        <f t="shared" si="3"/>
        <v>Day 60</v>
      </c>
      <c r="B94" s="4">
        <f t="shared" si="6"/>
        <v>52152.5</v>
      </c>
      <c r="C94">
        <f t="shared" si="4"/>
        <v>850563.44654217828</v>
      </c>
      <c r="D94">
        <f t="shared" si="8"/>
        <v>29.482333607230895</v>
      </c>
      <c r="E94">
        <f t="shared" si="9"/>
        <v>-8.3976992604765854</v>
      </c>
      <c r="F94">
        <f>L94/Performance!$C$36</f>
        <v>32.934965560720734</v>
      </c>
      <c r="G94">
        <f t="shared" si="5"/>
        <v>4</v>
      </c>
      <c r="H94" s="2">
        <f t="shared" si="7"/>
        <v>64510000000</v>
      </c>
      <c r="I94" s="2">
        <f>IF(OR(G94=1,G94=3),C94*Vehicle!$C$31,0)</f>
        <v>0</v>
      </c>
      <c r="J94" s="2">
        <f>C94*(IF(OR(G94=1,G94=3),Performance!$C$15,0))</f>
        <v>0</v>
      </c>
      <c r="K94" s="2">
        <f>IF(G94=4,0,IF(G94=1,Performance!$C$2*LN($H94/(H94-I94)),$C$26)+IF(G94=3,-1*Performance!$C$2*LN($H94/(H94-I94)),0))</f>
        <v>0</v>
      </c>
      <c r="L94" s="13">
        <f>IF(G94=4,$E$19,IF(G94=2,C94*$C$26,IF(OR(G94=1,G94=3),(Performance!$C$8/Performance!$C$7)*(H94-(H94-I94-J94)*(LN(H94/(H94-I94-J94))+1)))+IF(G94=2,$G$6)+IF(G94=3,$E$33)))</f>
        <v>4927000719461.6533</v>
      </c>
    </row>
    <row r="95" spans="1:12">
      <c r="A95" t="str">
        <f t="shared" si="3"/>
        <v>Day 61</v>
      </c>
      <c r="B95" s="4">
        <f t="shared" si="6"/>
        <v>52153.5</v>
      </c>
      <c r="C95">
        <f t="shared" si="4"/>
        <v>936963.44654217828</v>
      </c>
      <c r="D95">
        <f t="shared" si="8"/>
        <v>29.482333607230895</v>
      </c>
      <c r="E95">
        <f t="shared" si="9"/>
        <v>-8.3976992604765854</v>
      </c>
      <c r="F95">
        <f>L95/Performance!$C$36</f>
        <v>32.934965560720734</v>
      </c>
      <c r="G95">
        <f t="shared" si="5"/>
        <v>4</v>
      </c>
      <c r="H95" s="2">
        <f t="shared" si="7"/>
        <v>64510000000</v>
      </c>
      <c r="I95" s="2">
        <f>IF(OR(G95=1,G95=3),C95*Vehicle!$C$31,0)</f>
        <v>0</v>
      </c>
      <c r="J95" s="2">
        <f>C95*(IF(OR(G95=1,G95=3),Performance!$C$15,0))</f>
        <v>0</v>
      </c>
      <c r="K95" s="2">
        <f>IF(G95=4,0,IF(G95=1,Performance!$C$2*LN($H95/(H95-I95)),$C$26)+IF(G95=3,-1*Performance!$C$2*LN($H95/(H95-I95)),0))</f>
        <v>0</v>
      </c>
      <c r="L95" s="13">
        <f>IF(G95=4,$E$19,IF(G95=2,C95*$C$26,IF(OR(G95=1,G95=3),(Performance!$C$8/Performance!$C$7)*(H95-(H95-I95-J95)*(LN(H95/(H95-I95-J95))+1)))+IF(G95=2,$G$6)+IF(G95=3,$E$33)))</f>
        <v>4927000719461.6533</v>
      </c>
    </row>
    <row r="96" spans="1:12">
      <c r="A96" t="str">
        <f t="shared" si="3"/>
        <v>Day 62</v>
      </c>
      <c r="B96" s="4">
        <f t="shared" si="6"/>
        <v>52154.5</v>
      </c>
      <c r="C96">
        <f t="shared" si="4"/>
        <v>1023363.4465421783</v>
      </c>
      <c r="D96">
        <f t="shared" si="8"/>
        <v>29.482333607230895</v>
      </c>
      <c r="E96">
        <f t="shared" si="9"/>
        <v>-8.3976992604765854</v>
      </c>
      <c r="F96">
        <f>L96/Performance!$C$36</f>
        <v>32.934965560720734</v>
      </c>
      <c r="G96">
        <f t="shared" si="5"/>
        <v>4</v>
      </c>
      <c r="H96" s="2">
        <f t="shared" si="7"/>
        <v>64510000000</v>
      </c>
      <c r="I96" s="2">
        <f>IF(OR(G96=1,G96=3),C96*Vehicle!$C$31,0)</f>
        <v>0</v>
      </c>
      <c r="J96" s="2">
        <f>C96*(IF(OR(G96=1,G96=3),Performance!$C$15,0))</f>
        <v>0</v>
      </c>
      <c r="K96" s="2">
        <f>IF(G96=4,0,IF(G96=1,Performance!$C$2*LN($H96/(H96-I96)),$C$26)+IF(G96=3,-1*Performance!$C$2*LN($H96/(H96-I96)),0))</f>
        <v>0</v>
      </c>
      <c r="L96" s="13">
        <f>IF(G96=4,$E$19,IF(G96=2,C96*$C$26,IF(OR(G96=1,G96=3),(Performance!$C$8/Performance!$C$7)*(H96-(H96-I96-J96)*(LN(H96/(H96-I96-J96))+1)))+IF(G96=2,$G$6)+IF(G96=3,$E$33)))</f>
        <v>4927000719461.6533</v>
      </c>
    </row>
    <row r="97" spans="1:12">
      <c r="A97" t="str">
        <f t="shared" si="3"/>
        <v>Day 63</v>
      </c>
      <c r="B97" s="4">
        <f t="shared" si="6"/>
        <v>52155.5</v>
      </c>
      <c r="C97">
        <f t="shared" si="4"/>
        <v>1109763.4465421783</v>
      </c>
      <c r="D97">
        <f t="shared" si="8"/>
        <v>29.482333607230895</v>
      </c>
      <c r="E97">
        <f t="shared" si="9"/>
        <v>-8.3976992604765854</v>
      </c>
      <c r="F97">
        <f>L97/Performance!$C$36</f>
        <v>32.934965560720734</v>
      </c>
      <c r="G97">
        <f t="shared" si="5"/>
        <v>4</v>
      </c>
      <c r="H97" s="2">
        <f t="shared" si="7"/>
        <v>64510000000</v>
      </c>
      <c r="I97" s="2">
        <f>IF(OR(G97=1,G97=3),C97*Vehicle!$C$31,0)</f>
        <v>0</v>
      </c>
      <c r="J97" s="2">
        <f>C97*(IF(OR(G97=1,G97=3),Performance!$C$15,0))</f>
        <v>0</v>
      </c>
      <c r="K97" s="2">
        <f>IF(G97=4,0,IF(G97=1,Performance!$C$2*LN($H97/(H97-I97)),$C$26)+IF(G97=3,-1*Performance!$C$2*LN($H97/(H97-I97)),0))</f>
        <v>0</v>
      </c>
      <c r="L97" s="13">
        <f>IF(G97=4,$E$19,IF(G97=2,C97*$C$26,IF(OR(G97=1,G97=3),(Performance!$C$8/Performance!$C$7)*(H97-(H97-I97-J97)*(LN(H97/(H97-I97-J97))+1)))+IF(G97=2,$G$6)+IF(G97=3,$E$33)))</f>
        <v>4927000719461.6533</v>
      </c>
    </row>
    <row r="98" spans="1:12">
      <c r="A98" t="str">
        <f t="shared" si="3"/>
        <v>Day 64</v>
      </c>
      <c r="B98" s="4">
        <f t="shared" si="6"/>
        <v>52156.5</v>
      </c>
      <c r="C98">
        <f t="shared" si="4"/>
        <v>1196163.4465421783</v>
      </c>
      <c r="D98">
        <f t="shared" si="8"/>
        <v>29.482333607230895</v>
      </c>
      <c r="E98">
        <f t="shared" si="9"/>
        <v>-8.3976992604765854</v>
      </c>
      <c r="F98">
        <f>L98/Performance!$C$36</f>
        <v>32.934965560720734</v>
      </c>
      <c r="G98">
        <f t="shared" si="5"/>
        <v>4</v>
      </c>
      <c r="H98" s="2">
        <f t="shared" si="7"/>
        <v>64510000000</v>
      </c>
      <c r="I98" s="2">
        <f>IF(OR(G98=1,G98=3),C98*Vehicle!$C$31,0)</f>
        <v>0</v>
      </c>
      <c r="J98" s="2">
        <f>C98*(IF(OR(G98=1,G98=3),Performance!$C$15,0))</f>
        <v>0</v>
      </c>
      <c r="K98" s="2">
        <f>IF(G98=4,0,IF(G98=1,Performance!$C$2*LN($H98/(H98-I98)),$C$26)+IF(G98=3,-1*Performance!$C$2*LN($H98/(H98-I98)),0))</f>
        <v>0</v>
      </c>
      <c r="L98" s="13">
        <f>IF(G98=4,$E$19,IF(G98=2,C98*$C$26,IF(OR(G98=1,G98=3),(Performance!$C$8/Performance!$C$7)*(H98-(H98-I98-J98)*(LN(H98/(H98-I98-J98))+1)))+IF(G98=2,$G$6)+IF(G98=3,$E$33)))</f>
        <v>4927000719461.6533</v>
      </c>
    </row>
    <row r="99" spans="1:12">
      <c r="A99" t="str">
        <f t="shared" si="3"/>
        <v>Day 65</v>
      </c>
      <c r="B99" s="4">
        <f t="shared" si="6"/>
        <v>52157.5</v>
      </c>
      <c r="C99">
        <f t="shared" si="4"/>
        <v>1282563.4465421783</v>
      </c>
      <c r="D99">
        <f t="shared" si="8"/>
        <v>29.482333607230895</v>
      </c>
      <c r="E99">
        <f t="shared" si="9"/>
        <v>-8.3976992604765854</v>
      </c>
      <c r="F99">
        <f>L99/Performance!$C$36</f>
        <v>32.934965560720734</v>
      </c>
      <c r="G99">
        <f t="shared" si="5"/>
        <v>4</v>
      </c>
      <c r="H99" s="2">
        <f t="shared" si="7"/>
        <v>64510000000</v>
      </c>
      <c r="I99" s="2">
        <f>IF(OR(G99=1,G99=3),C99*Vehicle!$C$31,0)</f>
        <v>0</v>
      </c>
      <c r="J99" s="2">
        <f>C99*(IF(OR(G99=1,G99=3),Performance!$C$15,0))</f>
        <v>0</v>
      </c>
      <c r="K99" s="2">
        <f>IF(G99=4,0,IF(G99=1,Performance!$C$2*LN($H99/(H99-I99)),$C$26)+IF(G99=3,-1*Performance!$C$2*LN($H99/(H99-I99)),0))</f>
        <v>0</v>
      </c>
      <c r="L99" s="13">
        <f>IF(G99=4,$E$19,IF(G99=2,C99*$C$26,IF(OR(G99=1,G99=3),(Performance!$C$8/Performance!$C$7)*(H99-(H99-I99-J99)*(LN(H99/(H99-I99-J99))+1)))+IF(G99=2,$G$6)+IF(G99=3,$E$33)))</f>
        <v>4927000719461.6533</v>
      </c>
    </row>
    <row r="100" spans="1:12">
      <c r="A100" t="str">
        <f t="shared" si="3"/>
        <v>Day 66</v>
      </c>
      <c r="B100" s="4">
        <f t="shared" si="6"/>
        <v>52158.5</v>
      </c>
      <c r="C100">
        <f t="shared" si="4"/>
        <v>1368963.4465421783</v>
      </c>
      <c r="D100">
        <f t="shared" si="8"/>
        <v>29.482333607230895</v>
      </c>
      <c r="E100">
        <f t="shared" si="9"/>
        <v>-8.3976992604765854</v>
      </c>
      <c r="F100">
        <f>L100/Performance!$C$36</f>
        <v>32.934965560720734</v>
      </c>
      <c r="G100">
        <f t="shared" si="5"/>
        <v>4</v>
      </c>
      <c r="H100" s="2">
        <f t="shared" si="7"/>
        <v>64510000000</v>
      </c>
      <c r="I100" s="2">
        <f>IF(OR(G100=1,G100=3),C100*Vehicle!$C$31,0)</f>
        <v>0</v>
      </c>
      <c r="J100" s="2">
        <f>C100*(IF(OR(G100=1,G100=3),Performance!$C$15,0))</f>
        <v>0</v>
      </c>
      <c r="K100" s="2">
        <f>IF(G100=4,0,IF(G100=1,Performance!$C$2*LN($H100/(H100-I100)),$C$26)+IF(G100=3,-1*Performance!$C$2*LN($H100/(H100-I100)),0))</f>
        <v>0</v>
      </c>
      <c r="L100" s="13">
        <f>IF(G100=4,$E$19,IF(G100=2,C100*$C$26,IF(OR(G100=1,G100=3),(Performance!$C$8/Performance!$C$7)*(H100-(H100-I100-J100)*(LN(H100/(H100-I100-J100))+1)))+IF(G100=2,$G$6)+IF(G100=3,$E$33)))</f>
        <v>4927000719461.6533</v>
      </c>
    </row>
    <row r="101" spans="1:12">
      <c r="A101" t="str">
        <f t="shared" si="3"/>
        <v>Day 67</v>
      </c>
      <c r="B101" s="4">
        <f t="shared" si="6"/>
        <v>52159.5</v>
      </c>
      <c r="C101">
        <f t="shared" si="4"/>
        <v>1455363.4465421783</v>
      </c>
      <c r="D101">
        <f t="shared" si="8"/>
        <v>29.482333607230895</v>
      </c>
      <c r="E101">
        <f t="shared" si="9"/>
        <v>-8.3976992604765854</v>
      </c>
      <c r="F101">
        <f>L101/Performance!$C$36</f>
        <v>32.934965560720734</v>
      </c>
      <c r="G101">
        <f t="shared" si="5"/>
        <v>4</v>
      </c>
      <c r="H101" s="2">
        <f t="shared" si="7"/>
        <v>64510000000</v>
      </c>
      <c r="I101" s="2">
        <f>IF(OR(G101=1,G101=3),C101*Vehicle!$C$31,0)</f>
        <v>0</v>
      </c>
      <c r="J101" s="2">
        <f>C101*(IF(OR(G101=1,G101=3),Performance!$C$15,0))</f>
        <v>0</v>
      </c>
      <c r="K101" s="2">
        <f>IF(G101=4,0,IF(G101=1,Performance!$C$2*LN($H101/(H101-I101)),$C$26)+IF(G101=3,-1*Performance!$C$2*LN($H101/(H101-I101)),0))</f>
        <v>0</v>
      </c>
      <c r="L101" s="13">
        <f>IF(G101=4,$E$19,IF(G101=2,C101*$C$26,IF(OR(G101=1,G101=3),(Performance!$C$8/Performance!$C$7)*(H101-(H101-I101-J101)*(LN(H101/(H101-I101-J101))+1)))+IF(G101=2,$G$6)+IF(G101=3,$E$33)))</f>
        <v>4927000719461.6533</v>
      </c>
    </row>
    <row r="102" spans="1:12">
      <c r="A102" t="str">
        <f t="shared" si="3"/>
        <v>Day 68</v>
      </c>
      <c r="B102" s="4">
        <f t="shared" si="6"/>
        <v>52160.5</v>
      </c>
      <c r="C102">
        <f t="shared" si="4"/>
        <v>1541763.4465421783</v>
      </c>
      <c r="D102">
        <f t="shared" si="8"/>
        <v>29.482333607230895</v>
      </c>
      <c r="E102">
        <f t="shared" si="9"/>
        <v>-8.3976992604765854</v>
      </c>
      <c r="F102">
        <f>L102/Performance!$C$36</f>
        <v>32.934965560720734</v>
      </c>
      <c r="G102">
        <f t="shared" si="5"/>
        <v>4</v>
      </c>
      <c r="H102" s="2">
        <f t="shared" si="7"/>
        <v>64510000000</v>
      </c>
      <c r="I102" s="2">
        <f>IF(OR(G102=1,G102=3),C102*Vehicle!$C$31,0)</f>
        <v>0</v>
      </c>
      <c r="J102" s="2">
        <f>C102*(IF(OR(G102=1,G102=3),Performance!$C$15,0))</f>
        <v>0</v>
      </c>
      <c r="K102" s="2">
        <f>IF(G102=4,0,IF(G102=1,Performance!$C$2*LN($H102/(H102-I102)),$C$26)+IF(G102=3,-1*Performance!$C$2*LN($H102/(H102-I102)),0))</f>
        <v>0</v>
      </c>
      <c r="L102" s="13">
        <f>IF(G102=4,$E$19,IF(G102=2,C102*$C$26,IF(OR(G102=1,G102=3),(Performance!$C$8/Performance!$C$7)*(H102-(H102-I102-J102)*(LN(H102/(H102-I102-J102))+1)))+IF(G102=2,$G$6)+IF(G102=3,$E$33)))</f>
        <v>4927000719461.6533</v>
      </c>
    </row>
    <row r="103" spans="1:12">
      <c r="A103" t="str">
        <f t="shared" si="3"/>
        <v>Day 69</v>
      </c>
      <c r="B103" s="4">
        <f t="shared" si="6"/>
        <v>52161.5</v>
      </c>
      <c r="C103">
        <f t="shared" si="4"/>
        <v>1628163.4465421783</v>
      </c>
      <c r="D103">
        <f t="shared" si="8"/>
        <v>29.482333607230895</v>
      </c>
      <c r="E103">
        <f t="shared" si="9"/>
        <v>-8.3976992604765854</v>
      </c>
      <c r="F103">
        <f>L103/Performance!$C$36</f>
        <v>32.934965560720734</v>
      </c>
      <c r="G103">
        <f t="shared" si="5"/>
        <v>4</v>
      </c>
      <c r="H103" s="2">
        <f t="shared" si="7"/>
        <v>64510000000</v>
      </c>
      <c r="I103" s="2">
        <f>IF(OR(G103=1,G103=3),C103*Vehicle!$C$31,0)</f>
        <v>0</v>
      </c>
      <c r="J103" s="2">
        <f>C103*(IF(OR(G103=1,G103=3),Performance!$C$15,0))</f>
        <v>0</v>
      </c>
      <c r="K103" s="2">
        <f>IF(G103=4,0,IF(G103=1,Performance!$C$2*LN($H103/(H103-I103)),$C$26)+IF(G103=3,-1*Performance!$C$2*LN($H103/(H103-I103)),0))</f>
        <v>0</v>
      </c>
      <c r="L103" s="13">
        <f>IF(G103=4,$E$19,IF(G103=2,C103*$C$26,IF(OR(G103=1,G103=3),(Performance!$C$8/Performance!$C$7)*(H103-(H103-I103-J103)*(LN(H103/(H103-I103-J103))+1)))+IF(G103=2,$G$6)+IF(G103=3,$E$33)))</f>
        <v>4927000719461.6533</v>
      </c>
    </row>
    <row r="104" spans="1:12">
      <c r="A104" t="str">
        <f t="shared" si="3"/>
        <v>Day 70</v>
      </c>
      <c r="B104" s="4">
        <f t="shared" si="6"/>
        <v>52162.5</v>
      </c>
      <c r="C104">
        <f t="shared" si="4"/>
        <v>1714563.4465421783</v>
      </c>
      <c r="D104">
        <f t="shared" si="8"/>
        <v>29.482333607230895</v>
      </c>
      <c r="E104">
        <f t="shared" si="9"/>
        <v>-8.3976992604765854</v>
      </c>
      <c r="F104">
        <f>L104/Performance!$C$36</f>
        <v>32.934965560720734</v>
      </c>
      <c r="G104">
        <f t="shared" si="5"/>
        <v>4</v>
      </c>
      <c r="H104" s="2">
        <f t="shared" si="7"/>
        <v>64510000000</v>
      </c>
      <c r="I104" s="2">
        <f>IF(OR(G104=1,G104=3),C104*Vehicle!$C$31,0)</f>
        <v>0</v>
      </c>
      <c r="J104" s="2">
        <f>C104*(IF(OR(G104=1,G104=3),Performance!$C$15,0))</f>
        <v>0</v>
      </c>
      <c r="K104" s="2">
        <f>IF(G104=4,0,IF(G104=1,Performance!$C$2*LN($H104/(H104-I104)),$C$26)+IF(G104=3,-1*Performance!$C$2*LN($H104/(H104-I104)),0))</f>
        <v>0</v>
      </c>
      <c r="L104" s="13">
        <f>IF(G104=4,$E$19,IF(G104=2,C104*$C$26,IF(OR(G104=1,G104=3),(Performance!$C$8/Performance!$C$7)*(H104-(H104-I104-J104)*(LN(H104/(H104-I104-J104))+1)))+IF(G104=2,$G$6)+IF(G104=3,$E$33)))</f>
        <v>4927000719461.6533</v>
      </c>
    </row>
    <row r="105" spans="1:12">
      <c r="B105" s="4"/>
    </row>
    <row r="106" spans="1:12">
      <c r="B106" s="4"/>
    </row>
    <row r="107" spans="1:12">
      <c r="B107" s="4"/>
    </row>
    <row r="108" spans="1:12">
      <c r="B108" s="4"/>
    </row>
    <row r="109" spans="1:12">
      <c r="B109" s="4"/>
    </row>
    <row r="110" spans="1:12">
      <c r="B110" s="4"/>
    </row>
    <row r="111" spans="1:12">
      <c r="B111" s="4"/>
    </row>
    <row r="112" spans="1:12">
      <c r="B112" s="4"/>
    </row>
    <row r="113" spans="2:2">
      <c r="B113" s="4"/>
    </row>
    <row r="114" spans="2:2">
      <c r="B114" s="4"/>
    </row>
    <row r="115" spans="2:2">
      <c r="B115" s="4"/>
    </row>
    <row r="116" spans="2:2">
      <c r="B116" s="4"/>
    </row>
    <row r="117" spans="2:2">
      <c r="B117" s="4"/>
    </row>
    <row r="118" spans="2:2">
      <c r="B118" s="4"/>
    </row>
    <row r="119" spans="2:2">
      <c r="B119" s="4"/>
    </row>
    <row r="120" spans="2:2">
      <c r="B120" s="4"/>
    </row>
    <row r="121" spans="2:2">
      <c r="B121" s="4"/>
    </row>
    <row r="122" spans="2:2">
      <c r="B122" s="4"/>
    </row>
    <row r="123" spans="2:2">
      <c r="B123" s="4"/>
    </row>
    <row r="124" spans="2:2">
      <c r="B124" s="4"/>
    </row>
    <row r="125" spans="2:2">
      <c r="B125" s="4"/>
    </row>
    <row r="126" spans="2:2">
      <c r="B126" s="4"/>
    </row>
    <row r="127" spans="2:2">
      <c r="B127" s="4"/>
    </row>
    <row r="128" spans="2:2">
      <c r="B128" s="4"/>
    </row>
    <row r="129" spans="2:2">
      <c r="B129" s="4"/>
    </row>
    <row r="130" spans="2:2">
      <c r="B130" s="4"/>
    </row>
    <row r="131" spans="2:2">
      <c r="B131" s="4"/>
    </row>
    <row r="132" spans="2:2">
      <c r="B132" s="4"/>
    </row>
  </sheetData>
  <hyperlinks>
    <hyperlink ref="I19" r:id="rId1" display="https://www.physicsforums.com/threads/rocket-motion-calculating-distance.476154/" xr:uid="{CF906804-5931-B946-AF7F-A141FE3875C1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7B08B-536A-3145-802C-5129A142AA53}">
  <dimension ref="A1:Q145"/>
  <sheetViews>
    <sheetView workbookViewId="0">
      <selection activeCell="D28" sqref="D28"/>
    </sheetView>
  </sheetViews>
  <sheetFormatPr baseColWidth="10" defaultRowHeight="16"/>
  <cols>
    <col min="2" max="2" width="17.83203125" bestFit="1" customWidth="1"/>
    <col min="3" max="3" width="12.1640625" bestFit="1" customWidth="1"/>
    <col min="4" max="4" width="16.5" bestFit="1" customWidth="1"/>
    <col min="5" max="5" width="17.6640625" bestFit="1" customWidth="1"/>
    <col min="6" max="6" width="17.5" bestFit="1" customWidth="1"/>
    <col min="7" max="7" width="9.5" customWidth="1"/>
    <col min="8" max="8" width="12.83203125" bestFit="1" customWidth="1"/>
    <col min="9" max="9" width="12.1640625" bestFit="1" customWidth="1"/>
    <col min="10" max="11" width="12.1640625" customWidth="1"/>
    <col min="12" max="12" width="13.1640625" bestFit="1" customWidth="1"/>
    <col min="13" max="13" width="12.1640625" customWidth="1"/>
  </cols>
  <sheetData>
    <row r="1" spans="1:17">
      <c r="A1" t="s">
        <v>930</v>
      </c>
    </row>
    <row r="2" spans="1:17">
      <c r="A2" t="s">
        <v>869</v>
      </c>
      <c r="C2" s="2">
        <f>SUM(F6:F8)</f>
        <v>9740254511.2195854</v>
      </c>
      <c r="D2">
        <v>52100</v>
      </c>
      <c r="E2" s="123">
        <f>INT(D2-15021)</f>
        <v>37079</v>
      </c>
      <c r="G2">
        <f>51/121*10</f>
        <v>4.214876033057851</v>
      </c>
    </row>
    <row r="3" spans="1:17">
      <c r="A3" t="s">
        <v>870</v>
      </c>
      <c r="C3" s="2">
        <f>SUM(G6:G14)</f>
        <v>8522327379.3783474</v>
      </c>
    </row>
    <row r="4" spans="1:17">
      <c r="A4" t="s">
        <v>862</v>
      </c>
    </row>
    <row r="5" spans="1:17">
      <c r="A5" t="s">
        <v>863</v>
      </c>
      <c r="B5" t="s">
        <v>762</v>
      </c>
      <c r="C5" t="s">
        <v>934</v>
      </c>
      <c r="D5" t="s">
        <v>864</v>
      </c>
      <c r="E5" t="s">
        <v>865</v>
      </c>
      <c r="F5" t="s">
        <v>866</v>
      </c>
      <c r="G5" t="s">
        <v>867</v>
      </c>
      <c r="H5" t="s">
        <v>961</v>
      </c>
      <c r="I5" t="s">
        <v>852</v>
      </c>
      <c r="K5" t="s">
        <v>951</v>
      </c>
      <c r="L5" t="s">
        <v>771</v>
      </c>
      <c r="N5" t="s">
        <v>9</v>
      </c>
    </row>
    <row r="6" spans="1:17">
      <c r="A6">
        <v>1</v>
      </c>
      <c r="B6" s="4">
        <v>52092.5</v>
      </c>
      <c r="C6" s="123">
        <f>INT(B6-15021)</f>
        <v>37071</v>
      </c>
      <c r="D6" s="2">
        <f>EXP(H6/Performance!$C$8)*E6</f>
        <v>78352442442.567886</v>
      </c>
      <c r="E6" s="2">
        <f>D8</f>
        <v>71095119818.241074</v>
      </c>
      <c r="F6" s="2">
        <f>D6-E6-G6</f>
        <v>5106625490.7152033</v>
      </c>
      <c r="G6" s="2">
        <f>(D6-E6)*Performance!$C$15</f>
        <v>2150697133.6116095</v>
      </c>
      <c r="H6" s="2">
        <f>$C$34</f>
        <v>1298592.6276041667</v>
      </c>
      <c r="I6" s="2">
        <f>$C$35*LN(D6/E6)</f>
        <v>1298592.6276041667</v>
      </c>
      <c r="J6" s="2">
        <f>I6/$C$35</f>
        <v>9.7198445628614016E-2</v>
      </c>
      <c r="K6" s="3">
        <f>(Performance!$C$8*Performance!$C$7)/E6/9.8</f>
        <v>0.10421508104088449</v>
      </c>
      <c r="L6" s="2">
        <f>($C$35*D6/$C$36)*(1-(E6/D6)*(LN(D6/E6)+1))</f>
        <v>852991300845.50476</v>
      </c>
      <c r="M6" s="3">
        <f>L6/Conversion!$B$6</f>
        <v>5.7018946650388704</v>
      </c>
      <c r="N6" s="2">
        <f>(D6-E6)/$C$36</f>
        <v>1335345.374529755</v>
      </c>
      <c r="O6" s="3">
        <f>N6/24/3600</f>
        <v>15.455386279279571</v>
      </c>
      <c r="P6" t="s">
        <v>728</v>
      </c>
      <c r="Q6" s="13"/>
    </row>
    <row r="7" spans="1:17">
      <c r="A7">
        <v>2</v>
      </c>
      <c r="B7" s="4">
        <f>$B$6+O6</f>
        <v>52107.955386279282</v>
      </c>
      <c r="C7" s="123">
        <f>INT(B7-15021)</f>
        <v>37086</v>
      </c>
      <c r="D7" s="2"/>
      <c r="E7" s="2"/>
      <c r="F7" s="2"/>
      <c r="G7" s="2">
        <f>O7*$C$30</f>
        <v>89.188824367675437</v>
      </c>
      <c r="H7" s="2">
        <v>0</v>
      </c>
      <c r="I7" s="2"/>
      <c r="K7" s="2"/>
      <c r="L7" s="2">
        <f>$H$20-L6-L8</f>
        <v>3495160837757.5894</v>
      </c>
      <c r="M7" s="3">
        <f>L7/Conversion!$B$6</f>
        <v>23.363707126331374</v>
      </c>
      <c r="N7" s="2">
        <f>L7/H6</f>
        <v>2691499.060953374</v>
      </c>
      <c r="O7" s="3">
        <f t="shared" ref="O7" si="0">N7/24/3600</f>
        <v>31.151609501775162</v>
      </c>
      <c r="P7" t="s">
        <v>932</v>
      </c>
      <c r="Q7" s="13"/>
    </row>
    <row r="8" spans="1:17">
      <c r="A8">
        <v>3</v>
      </c>
      <c r="B8" s="4">
        <f>B9-O8</f>
        <v>52139.106995781054</v>
      </c>
      <c r="C8" s="123">
        <f>INT(B8-15021)</f>
        <v>37118</v>
      </c>
      <c r="D8" s="2">
        <f>EXP(H8/Performance!$C$8)*E8</f>
        <v>71095119818.241074</v>
      </c>
      <c r="E8" s="2">
        <f>Vehicle!$B$11</f>
        <v>64510000000</v>
      </c>
      <c r="F8" s="2">
        <f>D8-E8-G8</f>
        <v>4633629020.5043812</v>
      </c>
      <c r="G8" s="2">
        <f>(D8-E8)*Performance!$C$15</f>
        <v>1951490797.7366929</v>
      </c>
      <c r="H8" s="2">
        <f>Performance!$C$2</f>
        <v>1298592.6276041667</v>
      </c>
      <c r="I8" s="2"/>
      <c r="K8" s="3">
        <f>(Performance!$C$8*Performance!$C$7)/E8/9.8</f>
        <v>0.11485325799828533</v>
      </c>
      <c r="L8" s="2">
        <f>($C$35*D8/$C$36)*(1-(E8/D8)*(LN(D8/E8)+1))</f>
        <v>773983769325.14294</v>
      </c>
      <c r="M8" s="3">
        <f>L8/Conversion!$B$6</f>
        <v>5.1737619372756418</v>
      </c>
      <c r="N8" s="2">
        <f>(D8-E8)/$C$36</f>
        <v>1211660.2423787259</v>
      </c>
      <c r="O8" s="3">
        <f>N8/24/3600</f>
        <v>14.023845397901921</v>
      </c>
      <c r="P8" t="s">
        <v>933</v>
      </c>
      <c r="Q8" s="13"/>
    </row>
    <row r="9" spans="1:17">
      <c r="A9">
        <v>8</v>
      </c>
      <c r="B9" s="4">
        <f>SUM(O6:O8)+B6</f>
        <v>52153.130841178958</v>
      </c>
      <c r="C9" s="123">
        <f>INT(B9-15021)</f>
        <v>37132</v>
      </c>
      <c r="G9" s="2"/>
      <c r="L9" s="2">
        <f>SUM(L6:L8)</f>
        <v>5122135907928.2373</v>
      </c>
      <c r="O9" s="4"/>
      <c r="P9" t="s">
        <v>935</v>
      </c>
    </row>
    <row r="10" spans="1:17">
      <c r="A10">
        <v>9</v>
      </c>
      <c r="B10">
        <f>INT(B9)+28*7</f>
        <v>52349</v>
      </c>
      <c r="C10" s="123">
        <f>INT(B10-15021)</f>
        <v>37328</v>
      </c>
      <c r="G10" s="2">
        <f>O10*($C$30+C31)</f>
        <v>1550.3331873208799</v>
      </c>
      <c r="O10" s="4">
        <f>B10-B9</f>
        <v>195.86915882104222</v>
      </c>
      <c r="P10" t="s">
        <v>936</v>
      </c>
    </row>
    <row r="11" spans="1:17">
      <c r="A11">
        <v>10</v>
      </c>
      <c r="B11">
        <f>B10+O11</f>
        <v>52365.653292517018</v>
      </c>
      <c r="C11" s="123">
        <f t="shared" ref="C11:C13" si="1">INT(B11-15021)</f>
        <v>37344</v>
      </c>
      <c r="D11" s="2">
        <f>EXP(H11/Performance!$C$8)*E11</f>
        <v>84425333656.532227</v>
      </c>
      <c r="E11" s="2">
        <f>D13</f>
        <v>76605515091.705734</v>
      </c>
      <c r="F11" s="2">
        <f>D11-E11-G11</f>
        <v>5502426567.3479137</v>
      </c>
      <c r="G11" s="2">
        <f>(D11-E11)*Performance!$C$15</f>
        <v>2317391997.4785781</v>
      </c>
      <c r="H11" s="2">
        <f>Performance!$C$2</f>
        <v>1298592.6276041667</v>
      </c>
      <c r="I11" s="2"/>
      <c r="K11" s="3">
        <f>(Performance!$C$8*Performance!$C$7)/E11/9.8</f>
        <v>9.671867181624888E-2</v>
      </c>
      <c r="L11" s="2">
        <f>(Performance!$C$8*D11/Performance!$C$7)*(1-(1+H11/Performance!$C$8)*EXP(-H11/Performance!$C$8))</f>
        <v>919104407406.17773</v>
      </c>
      <c r="M11" s="2"/>
      <c r="N11" s="2">
        <f>(D11-E11)/$C$36</f>
        <v>1438844.473470211</v>
      </c>
      <c r="O11" s="3">
        <f>N11/24/3600</f>
        <v>16.653292517016332</v>
      </c>
      <c r="P11" t="s">
        <v>736</v>
      </c>
    </row>
    <row r="12" spans="1:17">
      <c r="A12">
        <v>11</v>
      </c>
      <c r="B12">
        <f>B11+O12</f>
        <v>52403.113987933451</v>
      </c>
      <c r="C12" s="123">
        <f t="shared" si="1"/>
        <v>37382</v>
      </c>
      <c r="G12" s="2">
        <f>O12*$C$30</f>
        <v>107.25209508024324</v>
      </c>
      <c r="H12" s="2">
        <v>0</v>
      </c>
      <c r="I12" s="2"/>
      <c r="K12" s="2"/>
      <c r="L12" s="2">
        <f>$H$20-L11-L13</f>
        <v>4203030201929.4321</v>
      </c>
      <c r="M12" s="2"/>
      <c r="N12" s="2">
        <f>L12/H11</f>
        <v>3236604.0839795894</v>
      </c>
      <c r="O12" s="3">
        <f t="shared" ref="O12" si="2">N12/24/3600</f>
        <v>37.460695416430433</v>
      </c>
      <c r="P12" t="s">
        <v>932</v>
      </c>
    </row>
    <row r="13" spans="1:17">
      <c r="A13">
        <v>12</v>
      </c>
      <c r="B13">
        <f>B12+O13</f>
        <v>52418.224784610065</v>
      </c>
      <c r="C13" s="123">
        <f t="shared" si="1"/>
        <v>37397</v>
      </c>
      <c r="D13" s="2">
        <f>EXP(H13/Performance!$C$8)*E13</f>
        <v>76605515091.705734</v>
      </c>
      <c r="E13" s="2">
        <f>Vehicle!$B$11+Vehicle!B18</f>
        <v>69510000000</v>
      </c>
      <c r="F13" s="2">
        <f>D13-E13-G13</f>
        <v>4992769387.9283743</v>
      </c>
      <c r="G13" s="2">
        <f>(D13-E13)*Performance!$C$15</f>
        <v>2102745703.77736</v>
      </c>
      <c r="H13" s="2">
        <f>Performance!$C$2</f>
        <v>1298592.6276041667</v>
      </c>
      <c r="I13" s="2"/>
      <c r="K13" s="3">
        <f>(Performance!$C$8*Performance!$C$7)/E13/9.8</f>
        <v>0.10659162240640753</v>
      </c>
      <c r="L13" s="2">
        <f>Performance!$C$8*LN(D13/E13)</f>
        <v>1298592.6276041667</v>
      </c>
      <c r="M13" s="2"/>
      <c r="N13" s="2">
        <f>(D13-E13)/$C$36</f>
        <v>1305572.8328591727</v>
      </c>
      <c r="O13" s="3">
        <f>N13/24/3600</f>
        <v>15.110796676610795</v>
      </c>
      <c r="P13" t="s">
        <v>939</v>
      </c>
    </row>
    <row r="14" spans="1:17">
      <c r="A14">
        <v>13</v>
      </c>
      <c r="B14" s="3">
        <f>B11+O11+O12+O13</f>
        <v>52434.878077127083</v>
      </c>
      <c r="C14" s="123">
        <f>INT(B14-15021)</f>
        <v>37413</v>
      </c>
      <c r="K14" s="2">
        <f>SUM(L11:L13)</f>
        <v>5122135907928.2373</v>
      </c>
      <c r="M14" s="2"/>
      <c r="O14" t="s">
        <v>940</v>
      </c>
    </row>
    <row r="15" spans="1:17">
      <c r="L15" s="2"/>
    </row>
    <row r="16" spans="1:17">
      <c r="A16" t="s">
        <v>750</v>
      </c>
      <c r="C16" s="4">
        <f>SUM(O6:O13)</f>
        <v>325.72478461005642</v>
      </c>
      <c r="D16" t="s">
        <v>434</v>
      </c>
      <c r="E16" s="2">
        <f>SUM(N6:N8)</f>
        <v>5238504.6778618544</v>
      </c>
      <c r="F16" t="s">
        <v>4</v>
      </c>
      <c r="G16" s="4">
        <f>C16/7</f>
        <v>46.532112087150914</v>
      </c>
      <c r="H16" t="s">
        <v>751</v>
      </c>
    </row>
    <row r="17" spans="1:16">
      <c r="E17" s="123"/>
      <c r="J17" s="2"/>
      <c r="K17" s="2"/>
    </row>
    <row r="18" spans="1:16">
      <c r="A18" t="s">
        <v>766</v>
      </c>
      <c r="C18" s="4"/>
      <c r="E18" s="123"/>
    </row>
    <row r="19" spans="1:16">
      <c r="A19" t="s">
        <v>938</v>
      </c>
      <c r="B19" t="s">
        <v>747</v>
      </c>
      <c r="C19">
        <f>(479.3-512)/$C$23</f>
        <v>-2.6869350862777313</v>
      </c>
      <c r="D19" t="s">
        <v>749</v>
      </c>
      <c r="E19">
        <f>(525.7-512)/$C$23</f>
        <v>1.1257189811010719</v>
      </c>
      <c r="J19" t="s">
        <v>752</v>
      </c>
      <c r="L19">
        <f>4743</f>
        <v>4743</v>
      </c>
    </row>
    <row r="20" spans="1:16">
      <c r="A20" t="s">
        <v>931</v>
      </c>
      <c r="B20" t="s">
        <v>747</v>
      </c>
      <c r="C20">
        <v>31</v>
      </c>
      <c r="D20" t="s">
        <v>749</v>
      </c>
      <c r="E20">
        <v>-5</v>
      </c>
      <c r="F20">
        <f>SQRT((C20-C19)^2+(E20-E19)^2)</f>
        <v>34.239363728645884</v>
      </c>
      <c r="G20" t="s">
        <v>112</v>
      </c>
      <c r="H20">
        <f>F20*Performance!$C$36</f>
        <v>5122135907928.2373</v>
      </c>
      <c r="I20" t="s">
        <v>734</v>
      </c>
      <c r="J20" t="s">
        <v>752</v>
      </c>
    </row>
    <row r="21" spans="1:16">
      <c r="A21" t="s">
        <v>937</v>
      </c>
      <c r="B21" t="s">
        <v>747</v>
      </c>
      <c r="C21">
        <v>31</v>
      </c>
      <c r="D21" t="s">
        <v>749</v>
      </c>
      <c r="E21">
        <v>-5</v>
      </c>
      <c r="F21">
        <f>SQRT((C21-C20)^2+(E21-E20)^2)</f>
        <v>0</v>
      </c>
      <c r="G21" t="s">
        <v>112</v>
      </c>
      <c r="H21">
        <f>F21*Performance!$C$36</f>
        <v>0</v>
      </c>
      <c r="I21" t="s">
        <v>734</v>
      </c>
      <c r="J21" t="s">
        <v>752</v>
      </c>
      <c r="L21">
        <f>4743</f>
        <v>4743</v>
      </c>
    </row>
    <row r="22" spans="1:16">
      <c r="A22" t="s">
        <v>938</v>
      </c>
      <c r="B22" t="s">
        <v>747</v>
      </c>
      <c r="C22">
        <f>(485.4-512)/92</f>
        <v>-0.28913043478260897</v>
      </c>
      <c r="D22" t="s">
        <v>749</v>
      </c>
      <c r="E22" s="136">
        <f>(814.7-512)/92</f>
        <v>3.2902173913043482</v>
      </c>
      <c r="F22">
        <f>SQRT((C22-C21)^2+(E22-E21)^2)</f>
        <v>32.368771798755731</v>
      </c>
      <c r="G22" t="s">
        <v>112</v>
      </c>
      <c r="J22" s="2"/>
      <c r="K22" s="2"/>
    </row>
    <row r="23" spans="1:16">
      <c r="A23" t="s">
        <v>735</v>
      </c>
      <c r="C23">
        <f>121.7/10</f>
        <v>12.17</v>
      </c>
      <c r="D23">
        <v>512</v>
      </c>
      <c r="E23">
        <v>512</v>
      </c>
    </row>
    <row r="24" spans="1:16">
      <c r="A24" t="s">
        <v>755</v>
      </c>
      <c r="C24">
        <f>ATAN2(C21-C19,E21-E19)</f>
        <v>-0.17987711117487751</v>
      </c>
      <c r="D24" t="s">
        <v>756</v>
      </c>
      <c r="E24">
        <f>C24*180/PI()</f>
        <v>-10.306199301325977</v>
      </c>
      <c r="F24" t="s">
        <v>757</v>
      </c>
    </row>
    <row r="26" spans="1:16">
      <c r="A26" t="s">
        <v>962</v>
      </c>
      <c r="B26">
        <f>52102</f>
        <v>52102</v>
      </c>
      <c r="C26" s="123">
        <f t="shared" ref="C26" si="3">INT(B26-15021)</f>
        <v>37081</v>
      </c>
      <c r="D26" s="2" t="e">
        <f>D5-C35*B26-B5</f>
        <v>#VALUE!</v>
      </c>
      <c r="E26" s="2" t="e">
        <f>D26*0.907</f>
        <v>#VALUE!</v>
      </c>
      <c r="F26" s="2" t="e">
        <f>D26-E26-G26</f>
        <v>#VALUE!</v>
      </c>
      <c r="G26" s="2" t="e">
        <f>(D26-E26)*Performance!$C$15</f>
        <v>#VALUE!</v>
      </c>
      <c r="H26" s="2">
        <f>Performance!$C$2</f>
        <v>1298592.6276041667</v>
      </c>
      <c r="I26" s="2" t="e">
        <f>$C$35*LN(D26/E26)</f>
        <v>#VALUE!</v>
      </c>
      <c r="K26" s="3" t="e">
        <f>(Performance!$C$8*Performance!$C$7)/E26/9.8</f>
        <v>#VALUE!</v>
      </c>
      <c r="L26" s="2" t="e">
        <f>Performance!$C$8*LN(D26/E26)</f>
        <v>#VALUE!</v>
      </c>
      <c r="M26" s="3" t="e">
        <f>L26/Conversion!$B$6</f>
        <v>#VALUE!</v>
      </c>
      <c r="N26" s="2" t="e">
        <f>(D26-E26)/$C$36</f>
        <v>#VALUE!</v>
      </c>
      <c r="O26" s="3" t="e">
        <f>N26/24/3600</f>
        <v>#VALUE!</v>
      </c>
      <c r="P26" t="s">
        <v>939</v>
      </c>
    </row>
    <row r="27" spans="1:16">
      <c r="A27" t="s">
        <v>962</v>
      </c>
      <c r="B27">
        <f>52102</f>
        <v>52102</v>
      </c>
      <c r="C27" s="123">
        <f t="shared" ref="C27" si="4">INT(B27-15021)</f>
        <v>37081</v>
      </c>
      <c r="D27" s="2">
        <f>D6-C36*B27-B6</f>
        <v>78069226884.956223</v>
      </c>
      <c r="E27" s="2">
        <f>D27*0.907</f>
        <v>70808788784.655289</v>
      </c>
      <c r="F27" s="2">
        <f>D27-E27-G27</f>
        <v>5108817699.8601885</v>
      </c>
      <c r="G27" s="2">
        <f>(D27-E27)*Performance!$C$15</f>
        <v>2151620400.4407454</v>
      </c>
      <c r="H27" s="2">
        <f>Performance!$C$2</f>
        <v>1298592.6276041667</v>
      </c>
      <c r="I27" s="2">
        <f>$C$35*LN(D27/E27)</f>
        <v>1304128.8788774386</v>
      </c>
      <c r="K27" s="3">
        <f>(Performance!$C$8*Performance!$C$7)/E27/9.8</f>
        <v>0.10463649782235794</v>
      </c>
      <c r="L27" s="2">
        <f>Performance!$C$8*LN(D27/E27)</f>
        <v>1304128.8788774386</v>
      </c>
      <c r="M27" s="3">
        <f>L27/Conversion!$B$6</f>
        <v>8.7175631095225118E-6</v>
      </c>
      <c r="N27" s="2">
        <f>(D27-E27)/$C$36</f>
        <v>1335918.6212554215</v>
      </c>
      <c r="O27" s="3">
        <f>N27/24/3600</f>
        <v>15.462021079345156</v>
      </c>
      <c r="P27" t="s">
        <v>939</v>
      </c>
    </row>
    <row r="29" spans="1:16">
      <c r="A29" t="s">
        <v>943</v>
      </c>
    </row>
    <row r="30" spans="1:16">
      <c r="B30" t="s">
        <v>780</v>
      </c>
      <c r="C30" s="3">
        <f>'Power Consumption'!C36</f>
        <v>2.8630567021775568</v>
      </c>
    </row>
    <row r="31" spans="1:16">
      <c r="B31" t="s">
        <v>822</v>
      </c>
      <c r="C31" s="2">
        <f>'Isotope Plant'!C14</f>
        <v>5.0520903105145081</v>
      </c>
    </row>
    <row r="32" spans="1:16">
      <c r="A32" t="s">
        <v>817</v>
      </c>
      <c r="C32" s="2" t="e">
        <f>#REF!</f>
        <v>#REF!</v>
      </c>
    </row>
    <row r="33" spans="1:11">
      <c r="A33" t="s">
        <v>772</v>
      </c>
      <c r="C33" s="2">
        <f>Vehicle!B10</f>
        <v>72610000000</v>
      </c>
      <c r="D33" t="s">
        <v>34</v>
      </c>
    </row>
    <row r="34" spans="1:11">
      <c r="A34" t="s">
        <v>892</v>
      </c>
      <c r="C34" s="2">
        <f>Performance!$C$2</f>
        <v>1298592.6276041667</v>
      </c>
    </row>
    <row r="35" spans="1:11">
      <c r="A35" t="s">
        <v>910</v>
      </c>
      <c r="C35" s="2">
        <f>Performance!$C$8</f>
        <v>13360220.106461015</v>
      </c>
    </row>
    <row r="36" spans="1:11">
      <c r="A36" t="s">
        <v>960</v>
      </c>
      <c r="C36">
        <f>Performance!$C$7</f>
        <v>5434.7907011566176</v>
      </c>
      <c r="D36" s="2">
        <f>Performance!$C$8/Performance!$C$7</f>
        <v>2458.2768391831037</v>
      </c>
    </row>
    <row r="38" spans="1:11">
      <c r="A38" s="119" t="s">
        <v>804</v>
      </c>
      <c r="B38" s="119"/>
      <c r="C38" s="126">
        <f>D6</f>
        <v>78352442442.567886</v>
      </c>
    </row>
    <row r="39" spans="1:11">
      <c r="A39" t="s">
        <v>806</v>
      </c>
      <c r="C39" s="2">
        <f>F6</f>
        <v>5106625490.7152033</v>
      </c>
      <c r="D39" t="s">
        <v>34</v>
      </c>
      <c r="E39" s="3">
        <f>C39/$C$33</f>
        <v>7.0329506827092728E-2</v>
      </c>
      <c r="F39" t="s">
        <v>773</v>
      </c>
      <c r="G39" s="6"/>
      <c r="I39" s="2"/>
    </row>
    <row r="40" spans="1:11">
      <c r="A40" t="s">
        <v>802</v>
      </c>
      <c r="C40" s="2">
        <f>Performance!$C$8*LN(C38/(C38-C39))</f>
        <v>900425.42093781836</v>
      </c>
      <c r="D40" t="s">
        <v>729</v>
      </c>
      <c r="E40" s="2">
        <f>C40/300000000</f>
        <v>3.0014180697927281E-3</v>
      </c>
      <c r="F40" t="s">
        <v>753</v>
      </c>
      <c r="G40" s="2">
        <f>C40/Performance!C36*3600*24</f>
        <v>0.52003919577865698</v>
      </c>
      <c r="H40" t="s">
        <v>754</v>
      </c>
    </row>
    <row r="41" spans="1:11">
      <c r="A41" s="124" t="s">
        <v>742</v>
      </c>
      <c r="C41" s="3">
        <f>E41/$H$20</f>
        <v>0.16653039204313841</v>
      </c>
      <c r="E41" s="2">
        <f>(Performance!$C$8*D6/Performance!$C$7)*(1-(1+H6/Performance!$C$8)*EXP(-H6/Performance!$C$8))</f>
        <v>852991300845.52612</v>
      </c>
      <c r="F41" t="s">
        <v>734</v>
      </c>
      <c r="G41">
        <f>$F$21*C41</f>
        <v>0</v>
      </c>
      <c r="H41" t="s">
        <v>112</v>
      </c>
      <c r="I41" t="s">
        <v>803</v>
      </c>
    </row>
    <row r="42" spans="1:11">
      <c r="A42" t="s">
        <v>743</v>
      </c>
      <c r="C42" s="2">
        <f>C39/Performance!$C$7</f>
        <v>939617.69118881156</v>
      </c>
      <c r="D42" t="s">
        <v>4</v>
      </c>
      <c r="E42" s="3">
        <f>C42/3600</f>
        <v>261.00491421911431</v>
      </c>
      <c r="F42" t="s">
        <v>777</v>
      </c>
      <c r="G42" s="3">
        <f>C42/3600/24</f>
        <v>10.875204759129764</v>
      </c>
      <c r="H42" t="s">
        <v>434</v>
      </c>
    </row>
    <row r="43" spans="1:11">
      <c r="A43" t="s">
        <v>809</v>
      </c>
      <c r="D43" t="s">
        <v>3</v>
      </c>
      <c r="E43" s="3">
        <f>K6/9.8</f>
        <v>1.0634191942947397E-2</v>
      </c>
      <c r="F43" t="s">
        <v>810</v>
      </c>
      <c r="G43" s="2"/>
      <c r="H43" s="125"/>
      <c r="I43" s="125"/>
      <c r="J43" s="125"/>
      <c r="K43" s="125"/>
    </row>
    <row r="45" spans="1:11">
      <c r="A45" t="s">
        <v>813</v>
      </c>
      <c r="C45" s="2">
        <f>E6</f>
        <v>71095119818.241074</v>
      </c>
    </row>
    <row r="46" spans="1:11">
      <c r="A46" t="s">
        <v>815</v>
      </c>
      <c r="C46" s="2">
        <f>C40+L19</f>
        <v>905168.42093781836</v>
      </c>
    </row>
    <row r="47" spans="1:11">
      <c r="A47" s="124" t="s">
        <v>740</v>
      </c>
      <c r="C47" s="2">
        <f>1-C41-C53</f>
        <v>-773983769324.30945</v>
      </c>
      <c r="E47" s="2">
        <f>L7</f>
        <v>3495160837757.5894</v>
      </c>
      <c r="F47" t="s">
        <v>734</v>
      </c>
      <c r="G47" s="2">
        <f>F21*C47</f>
        <v>0</v>
      </c>
      <c r="H47" t="s">
        <v>112</v>
      </c>
    </row>
    <row r="48" spans="1:11">
      <c r="A48" t="s">
        <v>746</v>
      </c>
      <c r="C48">
        <f>E47/C40</f>
        <v>3881677.2122196206</v>
      </c>
      <c r="D48" t="s">
        <v>4</v>
      </c>
      <c r="E48">
        <f>C48/3600/24</f>
        <v>44.926819585875243</v>
      </c>
      <c r="F48" t="s">
        <v>434</v>
      </c>
    </row>
    <row r="50" spans="1:14">
      <c r="A50" t="s">
        <v>801</v>
      </c>
      <c r="C50" s="2">
        <f>D8</f>
        <v>71095119818.241074</v>
      </c>
    </row>
    <row r="51" spans="1:14">
      <c r="A51" t="s">
        <v>807</v>
      </c>
      <c r="C51" s="2">
        <f>F8</f>
        <v>4633629020.5043812</v>
      </c>
      <c r="E51" s="3">
        <f>C51/$C$33</f>
        <v>6.3815301205128516E-2</v>
      </c>
      <c r="F51" t="s">
        <v>773</v>
      </c>
      <c r="G51" s="2"/>
      <c r="H51" s="2"/>
    </row>
    <row r="52" spans="1:14">
      <c r="A52" t="s">
        <v>802</v>
      </c>
      <c r="C52" s="2">
        <f>Performance!$C$8*LN(C50/(C50-C51))</f>
        <v>900425.42093781836</v>
      </c>
      <c r="D52" s="2"/>
      <c r="E52" s="3"/>
      <c r="G52" s="2"/>
    </row>
    <row r="53" spans="1:14">
      <c r="A53" t="s">
        <v>774</v>
      </c>
      <c r="C53" s="2">
        <f>E53</f>
        <v>773983769325.14294</v>
      </c>
      <c r="E53" s="2">
        <f>L8</f>
        <v>773983769325.14294</v>
      </c>
      <c r="F53" t="s">
        <v>734</v>
      </c>
      <c r="G53" s="13">
        <f>$F$21*C53</f>
        <v>0</v>
      </c>
      <c r="H53" t="s">
        <v>112</v>
      </c>
    </row>
    <row r="54" spans="1:14">
      <c r="A54" t="s">
        <v>748</v>
      </c>
      <c r="C54" s="2">
        <f>C51/Performance!$C$7</f>
        <v>852586.47026062373</v>
      </c>
      <c r="D54" t="s">
        <v>4</v>
      </c>
      <c r="E54" s="3">
        <f>C54/3600</f>
        <v>236.82957507239547</v>
      </c>
      <c r="F54" t="s">
        <v>777</v>
      </c>
      <c r="G54" s="3">
        <f>C54/3600/24</f>
        <v>9.8678989613498107</v>
      </c>
      <c r="H54" t="s">
        <v>434</v>
      </c>
    </row>
    <row r="55" spans="1:14">
      <c r="A55" t="s">
        <v>812</v>
      </c>
      <c r="C55" s="3">
        <f>(Performance!$C$8*Performance!$C$7)/E8</f>
        <v>1.1255619283831964</v>
      </c>
      <c r="E55" s="3">
        <f>C55/9.8</f>
        <v>0.11485325799828533</v>
      </c>
      <c r="F55" t="s">
        <v>810</v>
      </c>
      <c r="G55" s="3"/>
    </row>
    <row r="56" spans="1:14">
      <c r="C56" s="2"/>
      <c r="E56" s="2"/>
      <c r="G56" s="3"/>
    </row>
    <row r="57" spans="1:14">
      <c r="A57" t="s">
        <v>814</v>
      </c>
      <c r="C57" s="2">
        <f>E8</f>
        <v>64510000000</v>
      </c>
      <c r="E57" s="2"/>
      <c r="G57" s="3"/>
    </row>
    <row r="59" spans="1:14">
      <c r="A59" t="s">
        <v>776</v>
      </c>
      <c r="C59" s="2">
        <f>C54+C42</f>
        <v>1792204.1614494352</v>
      </c>
      <c r="D59" t="s">
        <v>4</v>
      </c>
      <c r="E59" s="3">
        <f>C59/3600</f>
        <v>497.83448929150978</v>
      </c>
      <c r="F59" t="s">
        <v>777</v>
      </c>
      <c r="G59" s="3">
        <f>E59/24</f>
        <v>20.743103720479574</v>
      </c>
      <c r="H59" t="s">
        <v>434</v>
      </c>
    </row>
    <row r="60" spans="1:14">
      <c r="A60" t="s">
        <v>775</v>
      </c>
      <c r="C60" s="2">
        <f>C51+C39</f>
        <v>9740254511.2195854</v>
      </c>
      <c r="D60" t="s">
        <v>34</v>
      </c>
      <c r="E60" s="3">
        <f>C60/$C$33</f>
        <v>0.13414480803222126</v>
      </c>
      <c r="F60" t="s">
        <v>769</v>
      </c>
    </row>
    <row r="61" spans="1:14">
      <c r="A61" t="s">
        <v>783</v>
      </c>
      <c r="C61" s="2">
        <f>Performance!$C$30*(G54+G42)+Performance!$C$31*C16</f>
        <v>33408.696340271403</v>
      </c>
      <c r="D61" t="s">
        <v>34</v>
      </c>
      <c r="E61" s="3">
        <f>C61/$C$33</f>
        <v>4.6011150447970532E-7</v>
      </c>
      <c r="F61" t="s">
        <v>769</v>
      </c>
    </row>
    <row r="62" spans="1:14">
      <c r="C62" s="2"/>
      <c r="E62" s="3"/>
    </row>
    <row r="63" spans="1:14">
      <c r="B63" t="s">
        <v>762</v>
      </c>
      <c r="C63" t="s">
        <v>9</v>
      </c>
      <c r="D63" t="s">
        <v>758</v>
      </c>
      <c r="E63" t="s">
        <v>759</v>
      </c>
      <c r="F63" t="s">
        <v>763</v>
      </c>
      <c r="G63" t="s">
        <v>770</v>
      </c>
      <c r="H63" t="s">
        <v>769</v>
      </c>
      <c r="I63" t="s">
        <v>816</v>
      </c>
      <c r="J63" t="s">
        <v>760</v>
      </c>
      <c r="K63" t="s">
        <v>771</v>
      </c>
      <c r="M63" t="s">
        <v>959</v>
      </c>
      <c r="N63" t="s">
        <v>852</v>
      </c>
    </row>
    <row r="65" spans="1:16">
      <c r="A65" t="s">
        <v>728</v>
      </c>
      <c r="B65">
        <f>B6</f>
        <v>52092.5</v>
      </c>
      <c r="C65">
        <f>(B65-IF(G65=1,$B$6,IF(G65=2,$B$7,IF(G65=3,$B$8,$B$9))))*3600*24</f>
        <v>0</v>
      </c>
      <c r="D65">
        <f t="shared" ref="D65:D70" si="5">$C$19+COS($C$24)*$F65</f>
        <v>-2.6869350862777313</v>
      </c>
      <c r="E65">
        <f t="shared" ref="E65:E70" si="6">$E$19+SIN($C$24)*$F65</f>
        <v>1.1257189811010719</v>
      </c>
      <c r="F65">
        <f>K65/Performance!$C$36</f>
        <v>0</v>
      </c>
      <c r="G65">
        <f>IF($B65&lt;$B$6,0,IF($B65&lt;=$B$7,1,IF($B65&gt;$B$9,4,IF($B65&gt;=$B$8,3,2))))</f>
        <v>1</v>
      </c>
      <c r="H65" s="2">
        <f t="shared" ref="H65:H70" si="7">IF(G65=1,$C$38,IF(G65=2,$C$45,IF(G65=3,$C$50,$C$57)))</f>
        <v>78352442442.567886</v>
      </c>
      <c r="I65" s="2">
        <f>IF(OR(G65=1,G65=3),C65*$C$36)</f>
        <v>0</v>
      </c>
      <c r="J65" s="2">
        <f>IF(G65=4,0)+IF(G65=2,$C$34)+IF(G65=1,N65)+IF(G65=3,$C$34-N65)</f>
        <v>0</v>
      </c>
      <c r="K65" s="2">
        <f>L65+M65</f>
        <v>0</v>
      </c>
      <c r="L65" s="2">
        <f>IF(OR(G65=2,G65=3),C65*$C$34)+O65*IF(G65=3,-1,1)</f>
        <v>0</v>
      </c>
      <c r="M65">
        <f>IF(G65=4,$L$9,IF(G65=2,$L$6,IF(G65=3,$L$9-$L$8,0)))</f>
        <v>0</v>
      </c>
      <c r="N65" s="2">
        <f>$C$35*LN(H65/(H65-I65))</f>
        <v>0</v>
      </c>
      <c r="O65" s="2">
        <f>($C$35*H65/$C$36)*(1-((H65-I65)/H65)*(LN(H65/(H65-I65))+1))</f>
        <v>0</v>
      </c>
      <c r="P65" s="2"/>
    </row>
    <row r="66" spans="1:16">
      <c r="A66" t="str">
        <f t="shared" ref="A66:A79" si="8">CONCATENATE("Day ",INT($B66-$B$6))</f>
        <v>Day 1</v>
      </c>
      <c r="B66" s="4">
        <f>B65+IF(B65&lt;$B$7+7,1,IF(B65&gt;($B$8-14),1,7))</f>
        <v>52093.5</v>
      </c>
      <c r="C66">
        <f t="shared" ref="C66:C79" si="9">(B66-IF(G66=1,$B$6,IF(G66=2,$B$7,IF(G66=3,$B$8,$B$9))))*3600*24</f>
        <v>86400</v>
      </c>
      <c r="D66">
        <f t="shared" si="5"/>
        <v>-2.6641410569556361</v>
      </c>
      <c r="E66">
        <f t="shared" si="6"/>
        <v>1.1215740561408012</v>
      </c>
      <c r="F66">
        <f>K66/Performance!$C$36</f>
        <v>2.3167826304226397E-2</v>
      </c>
      <c r="G66">
        <f t="shared" ref="G66:G123" si="10">IF($B66&lt;$B$6,0,IF($B66&lt;=$B$7,1,IF($B66&gt;$B$9,4,IF($B66&gt;=$B$8,3,2))))</f>
        <v>1</v>
      </c>
      <c r="H66" s="2">
        <f t="shared" si="7"/>
        <v>78352442442.567886</v>
      </c>
      <c r="I66" s="2">
        <f t="shared" ref="I66:I113" si="11">IF(OR(G66=1,G66=3),C66*$C$36)</f>
        <v>469565916.57993174</v>
      </c>
      <c r="J66" s="2">
        <f t="shared" ref="J66:J113" si="12">IF(G66=4,0)+IF(G66=2,$C$34)+IF(G66=1,N66)+IF(G66=3,$C$34-N66)</f>
        <v>80308.638676025643</v>
      </c>
      <c r="K66" s="2">
        <f t="shared" ref="K66:K113" si="13">L66+M66</f>
        <v>3465857483.8597193</v>
      </c>
      <c r="L66" s="2">
        <f t="shared" ref="L66:L123" si="14">IF(OR(G66=2,G66=3),C66*$C$34)+O66*IF(G66=3,-1,1)</f>
        <v>3465857483.8597193</v>
      </c>
      <c r="M66">
        <f t="shared" ref="M66:M113" si="15">IF(G66=4,$L$9,IF(G66=2,$L$6,IF(G66=3,$L$9-$L$8,0)))</f>
        <v>0</v>
      </c>
      <c r="N66" s="2">
        <f t="shared" ref="N66:N113" si="16">$C$35*LN(H66/(H66-I66))</f>
        <v>80308.638676025643</v>
      </c>
      <c r="O66" s="2">
        <f t="shared" ref="O66:O113" si="17">($C$35*H66/$C$36)*(1-((H66-I66)/H66)*(LN(H66/(H66-I66))+1))</f>
        <v>3465857483.8597193</v>
      </c>
      <c r="P66" s="2"/>
    </row>
    <row r="67" spans="1:16">
      <c r="A67" t="str">
        <f t="shared" si="8"/>
        <v>Day 2</v>
      </c>
      <c r="B67" s="4">
        <f t="shared" ref="B67:B113" si="18">B66+IF(B66&lt;$B$7+7,1,IF(B66&gt;($B$8-14),1,7))</f>
        <v>52094.5</v>
      </c>
      <c r="C67">
        <f t="shared" si="9"/>
        <v>172800</v>
      </c>
      <c r="D67">
        <f t="shared" si="5"/>
        <v>-2.5955755459264065</v>
      </c>
      <c r="E67">
        <f t="shared" si="6"/>
        <v>1.1091059271381203</v>
      </c>
      <c r="F67">
        <f>K67/Performance!$C$36</f>
        <v>9.2857736216113373E-2</v>
      </c>
      <c r="G67">
        <f t="shared" si="10"/>
        <v>1</v>
      </c>
      <c r="H67" s="2">
        <f t="shared" si="7"/>
        <v>78352442442.567886</v>
      </c>
      <c r="I67" s="2">
        <f t="shared" si="11"/>
        <v>939131833.15986347</v>
      </c>
      <c r="J67" s="2">
        <f t="shared" si="12"/>
        <v>161102.93549193375</v>
      </c>
      <c r="K67" s="2">
        <f t="shared" si="13"/>
        <v>13891319615.952835</v>
      </c>
      <c r="L67" s="2">
        <f t="shared" si="14"/>
        <v>13891319615.952835</v>
      </c>
      <c r="M67">
        <f t="shared" si="15"/>
        <v>0</v>
      </c>
      <c r="N67" s="2">
        <f t="shared" si="16"/>
        <v>161102.93549193375</v>
      </c>
      <c r="O67" s="2">
        <f t="shared" si="17"/>
        <v>13891319615.952835</v>
      </c>
      <c r="P67" s="2"/>
    </row>
    <row r="68" spans="1:16">
      <c r="A68" t="str">
        <f t="shared" si="8"/>
        <v>Day 3</v>
      </c>
      <c r="B68" s="4">
        <f t="shared" si="18"/>
        <v>52095.5</v>
      </c>
      <c r="C68">
        <f t="shared" si="9"/>
        <v>259200</v>
      </c>
      <c r="D68">
        <f t="shared" si="5"/>
        <v>-2.4809609137199211</v>
      </c>
      <c r="E68">
        <f t="shared" si="6"/>
        <v>1.088264107417181</v>
      </c>
      <c r="F68">
        <f>K68/Performance!$C$36</f>
        <v>0.20935192218737975</v>
      </c>
      <c r="G68">
        <f t="shared" si="10"/>
        <v>1</v>
      </c>
      <c r="H68" s="2">
        <f t="shared" si="7"/>
        <v>78352442442.567886</v>
      </c>
      <c r="I68" s="2">
        <f t="shared" si="11"/>
        <v>1408697749.7397952</v>
      </c>
      <c r="J68" s="2">
        <f t="shared" si="12"/>
        <v>242388.80013825867</v>
      </c>
      <c r="K68" s="2">
        <f t="shared" si="13"/>
        <v>31318601786.184097</v>
      </c>
      <c r="L68" s="2">
        <f t="shared" si="14"/>
        <v>31318601786.184097</v>
      </c>
      <c r="M68">
        <f t="shared" si="15"/>
        <v>0</v>
      </c>
      <c r="N68" s="2">
        <f t="shared" si="16"/>
        <v>242388.80013825867</v>
      </c>
      <c r="O68" s="2">
        <f t="shared" si="17"/>
        <v>31318601786.184097</v>
      </c>
      <c r="P68" s="2"/>
    </row>
    <row r="69" spans="1:16">
      <c r="A69" t="str">
        <f t="shared" si="8"/>
        <v>Day 4</v>
      </c>
      <c r="B69" s="4">
        <f t="shared" si="18"/>
        <v>52096.5</v>
      </c>
      <c r="C69">
        <f t="shared" si="9"/>
        <v>345600</v>
      </c>
      <c r="D69">
        <f t="shared" si="5"/>
        <v>-2.3200161320919173</v>
      </c>
      <c r="E69">
        <f t="shared" si="6"/>
        <v>1.0589974940787228</v>
      </c>
      <c r="F69">
        <f>K69/Performance!$C$36</f>
        <v>0.37293602101605156</v>
      </c>
      <c r="G69">
        <f t="shared" si="10"/>
        <v>1</v>
      </c>
      <c r="H69" s="2">
        <f t="shared" si="7"/>
        <v>78352442442.567886</v>
      </c>
      <c r="I69" s="2">
        <f t="shared" si="11"/>
        <v>1878263666.3197269</v>
      </c>
      <c r="J69" s="2">
        <f t="shared" si="12"/>
        <v>324172.25083354855</v>
      </c>
      <c r="K69" s="2">
        <f t="shared" si="13"/>
        <v>55790434651.331764</v>
      </c>
      <c r="L69" s="2">
        <f t="shared" si="14"/>
        <v>55790434651.331764</v>
      </c>
      <c r="M69">
        <f t="shared" si="15"/>
        <v>0</v>
      </c>
      <c r="N69" s="2">
        <f t="shared" si="16"/>
        <v>324172.25083354855</v>
      </c>
      <c r="O69" s="2">
        <f t="shared" si="17"/>
        <v>55790434651.331764</v>
      </c>
      <c r="P69" s="2"/>
    </row>
    <row r="70" spans="1:16">
      <c r="A70" t="str">
        <f t="shared" si="8"/>
        <v>Day 5</v>
      </c>
      <c r="B70" s="4">
        <f t="shared" si="18"/>
        <v>52097.5</v>
      </c>
      <c r="C70">
        <f t="shared" si="9"/>
        <v>432000</v>
      </c>
      <c r="D70">
        <f t="shared" si="5"/>
        <v>-2.1124567216019101</v>
      </c>
      <c r="E70">
        <f t="shared" si="6"/>
        <v>1.0212543566490815</v>
      </c>
      <c r="F70">
        <f>K70/Performance!$C$36</f>
        <v>0.5838991772921942</v>
      </c>
      <c r="G70">
        <f t="shared" si="10"/>
        <v>1</v>
      </c>
      <c r="H70" s="2">
        <f t="shared" si="7"/>
        <v>78352442442.567886</v>
      </c>
      <c r="I70" s="2">
        <f t="shared" si="11"/>
        <v>2347829582.8996587</v>
      </c>
      <c r="J70" s="2">
        <f t="shared" si="12"/>
        <v>406459.41699813813</v>
      </c>
      <c r="K70" s="2">
        <f t="shared" si="13"/>
        <v>87350073626.394043</v>
      </c>
      <c r="L70" s="2">
        <f t="shared" si="14"/>
        <v>87350073626.394043</v>
      </c>
      <c r="M70">
        <f t="shared" si="15"/>
        <v>0</v>
      </c>
      <c r="N70" s="2">
        <f t="shared" si="16"/>
        <v>406459.41699813813</v>
      </c>
      <c r="O70" s="2">
        <f t="shared" si="17"/>
        <v>87350073626.394043</v>
      </c>
      <c r="P70" s="2"/>
    </row>
    <row r="71" spans="1:16">
      <c r="A71" t="str">
        <f t="shared" si="8"/>
        <v>Day 6</v>
      </c>
      <c r="B71" s="4">
        <f t="shared" si="18"/>
        <v>52098.5</v>
      </c>
      <c r="C71">
        <f t="shared" si="9"/>
        <v>518400</v>
      </c>
      <c r="D71">
        <f t="shared" ref="D71:D75" si="19">$C$19+COS($C$24)*$F71</f>
        <v>-1.8579946876433882</v>
      </c>
      <c r="E71">
        <f t="shared" ref="E71:E75" si="20">$E$19+SIN($C$24)*$F71</f>
        <v>0.97498232544775509</v>
      </c>
      <c r="F71">
        <f>K71/Performance!$C$36</f>
        <v>0.84253410841675147</v>
      </c>
      <c r="G71">
        <f t="shared" si="10"/>
        <v>1</v>
      </c>
      <c r="H71" s="2">
        <f t="shared" ref="H71:H75" si="21">IF(G71=1,$C$38,IF(G71=2,$C$45,IF(G71=3,$C$50,$C$57)))</f>
        <v>78352442442.567886</v>
      </c>
      <c r="I71" s="2">
        <f t="shared" si="11"/>
        <v>2817395499.4795904</v>
      </c>
      <c r="J71" s="2">
        <f t="shared" si="12"/>
        <v>489256.54201078496</v>
      </c>
      <c r="K71" s="2">
        <f t="shared" si="13"/>
        <v>126041308611.26897</v>
      </c>
      <c r="L71" s="2">
        <f t="shared" si="14"/>
        <v>126041308611.26897</v>
      </c>
      <c r="M71">
        <f t="shared" si="15"/>
        <v>0</v>
      </c>
      <c r="N71" s="2">
        <f t="shared" si="16"/>
        <v>489256.54201078496</v>
      </c>
      <c r="O71" s="2">
        <f t="shared" si="17"/>
        <v>126041308611.26897</v>
      </c>
      <c r="P71" s="2"/>
    </row>
    <row r="72" spans="1:16">
      <c r="A72" t="str">
        <f t="shared" si="8"/>
        <v>Day 7</v>
      </c>
      <c r="B72" s="4">
        <f t="shared" si="18"/>
        <v>52099.5</v>
      </c>
      <c r="C72">
        <f t="shared" si="9"/>
        <v>604800</v>
      </c>
      <c r="D72">
        <f t="shared" si="19"/>
        <v>-1.5563384548859212</v>
      </c>
      <c r="E72">
        <f t="shared" si="20"/>
        <v>0.92012837966618766</v>
      </c>
      <c r="F72">
        <f>K72/Performance!$C$36</f>
        <v>1.1491371712345162</v>
      </c>
      <c r="G72">
        <f t="shared" si="10"/>
        <v>1</v>
      </c>
      <c r="H72" s="2">
        <f t="shared" si="21"/>
        <v>78352442442.567886</v>
      </c>
      <c r="I72" s="2">
        <f t="shared" si="11"/>
        <v>3286961416.0595222</v>
      </c>
      <c r="J72" s="2">
        <f t="shared" si="12"/>
        <v>572569.9860512485</v>
      </c>
      <c r="K72" s="2">
        <f t="shared" si="13"/>
        <v>171908473958.90491</v>
      </c>
      <c r="L72" s="2">
        <f t="shared" si="14"/>
        <v>171908473958.90491</v>
      </c>
      <c r="M72">
        <f t="shared" si="15"/>
        <v>0</v>
      </c>
      <c r="N72" s="2">
        <f t="shared" si="16"/>
        <v>572569.9860512485</v>
      </c>
      <c r="O72" s="2">
        <f t="shared" si="17"/>
        <v>171908473958.90491</v>
      </c>
      <c r="P72" s="2"/>
    </row>
    <row r="73" spans="1:16">
      <c r="A73" t="str">
        <f t="shared" si="8"/>
        <v>Day 8</v>
      </c>
      <c r="B73" s="4">
        <f t="shared" si="18"/>
        <v>52100.5</v>
      </c>
      <c r="C73">
        <f t="shared" si="9"/>
        <v>691200</v>
      </c>
      <c r="D73">
        <f t="shared" si="19"/>
        <v>-1.2071928000785475</v>
      </c>
      <c r="E73">
        <f t="shared" si="20"/>
        <v>0.85663883514856509</v>
      </c>
      <c r="F73">
        <f>K73/Performance!$C$36</f>
        <v>1.5040084303326926</v>
      </c>
      <c r="G73">
        <f t="shared" si="10"/>
        <v>1</v>
      </c>
      <c r="H73" s="2">
        <f t="shared" si="21"/>
        <v>78352442442.567886</v>
      </c>
      <c r="I73" s="2">
        <f t="shared" si="11"/>
        <v>3756527332.6394539</v>
      </c>
      <c r="J73" s="2">
        <f t="shared" si="12"/>
        <v>656406.22903206479</v>
      </c>
      <c r="K73" s="2">
        <f t="shared" si="13"/>
        <v>224996458692.62012</v>
      </c>
      <c r="L73" s="2">
        <f t="shared" si="14"/>
        <v>224996458692.62012</v>
      </c>
      <c r="M73">
        <f t="shared" si="15"/>
        <v>0</v>
      </c>
      <c r="N73" s="2">
        <f t="shared" si="16"/>
        <v>656406.22903206479</v>
      </c>
      <c r="O73" s="2">
        <f t="shared" si="17"/>
        <v>224996458692.62012</v>
      </c>
      <c r="P73" s="2"/>
    </row>
    <row r="74" spans="1:16">
      <c r="A74" t="str">
        <f t="shared" si="8"/>
        <v>Day 9</v>
      </c>
      <c r="B74" s="4">
        <f t="shared" si="18"/>
        <v>52101.5</v>
      </c>
      <c r="C74">
        <f t="shared" si="9"/>
        <v>777600</v>
      </c>
      <c r="D74">
        <f t="shared" si="19"/>
        <v>-0.81025878315776323</v>
      </c>
      <c r="E74">
        <f t="shared" si="20"/>
        <v>0.78445933186431382</v>
      </c>
      <c r="F74">
        <f>K74/Performance!$C$36</f>
        <v>1.9074517280626595</v>
      </c>
      <c r="G74">
        <f t="shared" si="10"/>
        <v>1</v>
      </c>
      <c r="H74" s="2">
        <f t="shared" si="21"/>
        <v>78352442442.567886</v>
      </c>
      <c r="I74" s="2">
        <f t="shared" si="11"/>
        <v>4226093249.2193856</v>
      </c>
      <c r="J74" s="2">
        <f t="shared" si="12"/>
        <v>740771.8736229029</v>
      </c>
      <c r="K74" s="2">
        <f t="shared" si="13"/>
        <v>285350716981.20929</v>
      </c>
      <c r="L74" s="2">
        <f t="shared" si="14"/>
        <v>285350716981.20929</v>
      </c>
      <c r="M74">
        <f t="shared" si="15"/>
        <v>0</v>
      </c>
      <c r="N74" s="2">
        <f t="shared" si="16"/>
        <v>740771.8736229029</v>
      </c>
      <c r="O74" s="2">
        <f t="shared" si="17"/>
        <v>285350716981.20929</v>
      </c>
      <c r="P74" s="2"/>
    </row>
    <row r="75" spans="1:16">
      <c r="A75" t="str">
        <f t="shared" si="8"/>
        <v>Day 10</v>
      </c>
      <c r="B75" s="4">
        <f t="shared" si="18"/>
        <v>52102.5</v>
      </c>
      <c r="C75">
        <f t="shared" si="9"/>
        <v>864000</v>
      </c>
      <c r="D75">
        <f t="shared" si="19"/>
        <v>-0.36523367661117945</v>
      </c>
      <c r="E75">
        <f t="shared" si="20"/>
        <v>0.70353482106340692</v>
      </c>
      <c r="F75">
        <f>K75/Performance!$C$36</f>
        <v>2.3597747563346725</v>
      </c>
      <c r="G75">
        <f t="shared" si="10"/>
        <v>1</v>
      </c>
      <c r="H75" s="2">
        <f t="shared" si="21"/>
        <v>78352442442.567886</v>
      </c>
      <c r="I75" s="2">
        <f t="shared" si="11"/>
        <v>4695659165.7993174</v>
      </c>
      <c r="J75" s="2">
        <f t="shared" si="12"/>
        <v>825673.64837097027</v>
      </c>
      <c r="K75" s="2">
        <f t="shared" si="13"/>
        <v>353017278879.27832</v>
      </c>
      <c r="L75" s="2">
        <f t="shared" si="14"/>
        <v>353017278879.27832</v>
      </c>
      <c r="M75">
        <f t="shared" si="15"/>
        <v>0</v>
      </c>
      <c r="N75" s="2">
        <f t="shared" si="16"/>
        <v>825673.64837097027</v>
      </c>
      <c r="O75" s="2">
        <f t="shared" si="17"/>
        <v>353017278879.27832</v>
      </c>
      <c r="P75" s="2"/>
    </row>
    <row r="76" spans="1:16">
      <c r="A76" t="str">
        <f t="shared" si="8"/>
        <v>Day 11</v>
      </c>
      <c r="B76" s="4">
        <f t="shared" si="18"/>
        <v>52103.5</v>
      </c>
      <c r="C76">
        <f t="shared" si="9"/>
        <v>950400</v>
      </c>
      <c r="D76">
        <f>$C$19+COS($C$24)*$F76</f>
        <v>0.12818910695885855</v>
      </c>
      <c r="E76">
        <f>$E$19+SIN($C$24)*$F76</f>
        <v>0.61380955210434562</v>
      </c>
      <c r="F76">
        <f>K76/Performance!$C$36</f>
        <v>2.8612891302421213</v>
      </c>
      <c r="G76">
        <f t="shared" si="10"/>
        <v>1</v>
      </c>
      <c r="H76" s="2">
        <f>IF(G76=1,$C$38,IF(G76=2,$C$45,IF(G76=3,$C$50,$C$57)))</f>
        <v>78352442442.567886</v>
      </c>
      <c r="I76" s="2">
        <f t="shared" si="11"/>
        <v>5165225082.3792496</v>
      </c>
      <c r="J76" s="2">
        <f t="shared" si="12"/>
        <v>911118.41092127713</v>
      </c>
      <c r="K76" s="2">
        <f t="shared" si="13"/>
        <v>428042761341.27631</v>
      </c>
      <c r="L76" s="2">
        <f t="shared" si="14"/>
        <v>428042761341.27631</v>
      </c>
      <c r="M76">
        <f t="shared" si="15"/>
        <v>0</v>
      </c>
      <c r="N76" s="2">
        <f t="shared" si="16"/>
        <v>911118.41092127713</v>
      </c>
      <c r="O76" s="2">
        <f t="shared" si="17"/>
        <v>428042761341.27631</v>
      </c>
      <c r="P76" s="2"/>
    </row>
    <row r="77" spans="1:16">
      <c r="A77" t="str">
        <f t="shared" si="8"/>
        <v>Day 12</v>
      </c>
      <c r="B77" s="4">
        <f t="shared" si="18"/>
        <v>52104.5</v>
      </c>
      <c r="C77">
        <f t="shared" si="9"/>
        <v>1036800</v>
      </c>
      <c r="D77">
        <f>$C$19+COS($C$24)*$F77</f>
        <v>0.67032008913398045</v>
      </c>
      <c r="E77">
        <f>$E$19+SIN($C$24)*$F77</f>
        <v>0.51522705894349141</v>
      </c>
      <c r="F77">
        <f>K77/Performance!$C$36</f>
        <v>3.4123104635786561</v>
      </c>
      <c r="G77">
        <f t="shared" si="10"/>
        <v>1</v>
      </c>
      <c r="H77" s="2">
        <f>IF(G77=1,$C$38,IF(G77=2,$C$45,IF(G77=3,$C$50,$C$57)))</f>
        <v>78352442442.567886</v>
      </c>
      <c r="I77" s="2">
        <f t="shared" si="11"/>
        <v>5634790998.9591808</v>
      </c>
      <c r="J77" s="2">
        <f t="shared" si="12"/>
        <v>997113.15134045272</v>
      </c>
      <c r="K77" s="2">
        <f t="shared" si="13"/>
        <v>510474379518.69684</v>
      </c>
      <c r="L77" s="2">
        <f t="shared" si="14"/>
        <v>510474379518.69684</v>
      </c>
      <c r="M77">
        <f t="shared" si="15"/>
        <v>0</v>
      </c>
      <c r="N77" s="2">
        <f t="shared" si="16"/>
        <v>997113.15134045272</v>
      </c>
      <c r="O77" s="2">
        <f t="shared" si="17"/>
        <v>510474379518.69684</v>
      </c>
      <c r="P77" s="2"/>
    </row>
    <row r="78" spans="1:16">
      <c r="A78" t="str">
        <f t="shared" si="8"/>
        <v>Day 13</v>
      </c>
      <c r="B78" s="4">
        <f t="shared" si="18"/>
        <v>52105.5</v>
      </c>
      <c r="C78">
        <f t="shared" si="9"/>
        <v>1123200</v>
      </c>
      <c r="D78">
        <f>$C$19+COS($C$24)*$F78</f>
        <v>1.2614738018918925</v>
      </c>
      <c r="E78">
        <f>$E$19+SIN($C$24)*$F78</f>
        <v>0.4077301462764612</v>
      </c>
      <c r="F78">
        <f>K78/Performance!$C$36</f>
        <v>4.013158446300082</v>
      </c>
      <c r="G78">
        <f t="shared" si="10"/>
        <v>1</v>
      </c>
      <c r="H78" s="2">
        <f>IF(G78=1,$C$38,IF(G78=2,$C$45,IF(G78=3,$C$50,$C$57)))</f>
        <v>78352442442.567886</v>
      </c>
      <c r="I78" s="2">
        <f t="shared" si="11"/>
        <v>6104356915.539113</v>
      </c>
      <c r="J78" s="2">
        <f t="shared" si="12"/>
        <v>1083664.99554832</v>
      </c>
      <c r="K78" s="2">
        <f t="shared" si="13"/>
        <v>600359958348.21252</v>
      </c>
      <c r="L78" s="2">
        <f t="shared" si="14"/>
        <v>600359958348.21252</v>
      </c>
      <c r="M78">
        <f t="shared" si="15"/>
        <v>0</v>
      </c>
      <c r="N78" s="2">
        <f t="shared" si="16"/>
        <v>1083664.99554832</v>
      </c>
      <c r="O78" s="2">
        <f t="shared" si="17"/>
        <v>600359958348.21252</v>
      </c>
      <c r="P78" s="2"/>
    </row>
    <row r="79" spans="1:16">
      <c r="A79" t="str">
        <f t="shared" si="8"/>
        <v>Day 14</v>
      </c>
      <c r="B79" s="4">
        <f t="shared" si="18"/>
        <v>52106.5</v>
      </c>
      <c r="C79">
        <f t="shared" si="9"/>
        <v>1209600</v>
      </c>
      <c r="D79">
        <f>$C$19+COS($C$24)*$F79</f>
        <v>1.9019688658080791</v>
      </c>
      <c r="E79">
        <f>$E$19+SIN($C$24)*$F79</f>
        <v>0.29126087531772837</v>
      </c>
      <c r="F79">
        <f>K79/Performance!$C$36</f>
        <v>4.664156924008485</v>
      </c>
      <c r="G79">
        <f t="shared" si="10"/>
        <v>1</v>
      </c>
      <c r="H79" s="2">
        <f>IF(G79=1,$C$38,IF(G79=2,$C$45,IF(G79=3,$C$50,$C$57)))</f>
        <v>78352442442.567886</v>
      </c>
      <c r="I79" s="2">
        <f t="shared" si="11"/>
        <v>6573922832.1190443</v>
      </c>
      <c r="J79" s="2">
        <f t="shared" si="12"/>
        <v>1170781.2088612725</v>
      </c>
      <c r="K79" s="2">
        <f t="shared" si="13"/>
        <v>697747944442.33105</v>
      </c>
      <c r="L79" s="2">
        <f t="shared" si="14"/>
        <v>697747944442.33105</v>
      </c>
      <c r="M79">
        <f t="shared" si="15"/>
        <v>0</v>
      </c>
      <c r="N79" s="2">
        <f t="shared" si="16"/>
        <v>1170781.2088612725</v>
      </c>
      <c r="O79" s="2">
        <f t="shared" si="17"/>
        <v>697747944442.33105</v>
      </c>
      <c r="P79" s="2"/>
    </row>
    <row r="80" spans="1:16">
      <c r="A80" t="str">
        <f t="shared" ref="A80:A85" si="22">CONCATENATE("Day ",INT($B80-$B$6))</f>
        <v>Day 15</v>
      </c>
      <c r="B80" s="4">
        <f t="shared" si="18"/>
        <v>52107.5</v>
      </c>
      <c r="C80">
        <f t="shared" ref="C80:C85" si="23">(B80-IF(G80=1,$B$6,IF(G80=2,$B$7,IF(G80=3,$B$8,$B$9))))*3600*24</f>
        <v>1296000</v>
      </c>
      <c r="D80">
        <f t="shared" ref="D80:D85" si="24">$C$19+COS($C$24)*$F80</f>
        <v>2.5921280702950882</v>
      </c>
      <c r="E80">
        <f t="shared" ref="E80:E85" si="25">$E$19+SIN($C$24)*$F80</f>
        <v>0.1657605492097044</v>
      </c>
      <c r="F80">
        <f>K80/Performance!$C$36</f>
        <v>5.3656339795073533</v>
      </c>
      <c r="G80">
        <f t="shared" si="10"/>
        <v>1</v>
      </c>
      <c r="H80" s="2">
        <f t="shared" ref="H80:H85" si="26">IF(G80=1,$C$38,IF(G80=2,$C$45,IF(G80=3,$C$50,$C$57)))</f>
        <v>78352442442.567886</v>
      </c>
      <c r="I80" s="2">
        <f t="shared" si="11"/>
        <v>7043488748.6989765</v>
      </c>
      <c r="J80" s="2">
        <f t="shared" si="12"/>
        <v>1258469.1996519722</v>
      </c>
      <c r="K80" s="2">
        <f t="shared" si="13"/>
        <v>802687418289.86755</v>
      </c>
      <c r="L80" s="2">
        <f t="shared" si="14"/>
        <v>802687418289.86755</v>
      </c>
      <c r="M80">
        <f t="shared" si="15"/>
        <v>0</v>
      </c>
      <c r="N80" s="2">
        <f t="shared" si="16"/>
        <v>1258469.1996519722</v>
      </c>
      <c r="O80" s="2">
        <f t="shared" si="17"/>
        <v>802687418289.86755</v>
      </c>
      <c r="P80" s="2"/>
    </row>
    <row r="81" spans="1:16">
      <c r="A81" t="str">
        <f t="shared" si="22"/>
        <v>Day 16</v>
      </c>
      <c r="B81" s="4">
        <f t="shared" si="18"/>
        <v>52108.5</v>
      </c>
      <c r="C81">
        <f>(B81-IF(G81=1,$B$6,IF(G81=2,$B$7,IF(G81=3,$B$8,$B$9))))*3600*24</f>
        <v>47054.625470051542</v>
      </c>
      <c r="D81">
        <f t="shared" si="24"/>
        <v>3.3248334843643295</v>
      </c>
      <c r="E81">
        <f t="shared" si="25"/>
        <v>3.2523510843819103E-2</v>
      </c>
      <c r="F81">
        <f>K81/Performance!$C$36</f>
        <v>6.1103549555775123</v>
      </c>
      <c r="G81">
        <f t="shared" si="10"/>
        <v>2</v>
      </c>
      <c r="H81" s="2">
        <f t="shared" si="26"/>
        <v>71095119818.241074</v>
      </c>
      <c r="I81" s="2" t="b">
        <f t="shared" si="11"/>
        <v>0</v>
      </c>
      <c r="J81" s="2">
        <f t="shared" si="12"/>
        <v>1298592.6276041667</v>
      </c>
      <c r="K81" s="2">
        <f t="shared" si="13"/>
        <v>914096090575.58899</v>
      </c>
      <c r="L81" s="2">
        <f t="shared" si="14"/>
        <v>61104789730.084183</v>
      </c>
      <c r="M81">
        <f t="shared" si="15"/>
        <v>852991300845.50476</v>
      </c>
      <c r="N81" s="2">
        <f t="shared" si="16"/>
        <v>0</v>
      </c>
      <c r="O81" s="2">
        <f t="shared" si="17"/>
        <v>0</v>
      </c>
      <c r="P81" s="2"/>
    </row>
    <row r="82" spans="1:16">
      <c r="A82" t="str">
        <f t="shared" si="22"/>
        <v>Day 17</v>
      </c>
      <c r="B82" s="4">
        <f t="shared" si="18"/>
        <v>52109.5</v>
      </c>
      <c r="C82">
        <f t="shared" si="23"/>
        <v>133454.62547005154</v>
      </c>
      <c r="D82">
        <f t="shared" si="24"/>
        <v>4.0627327489342058</v>
      </c>
      <c r="E82">
        <f t="shared" si="25"/>
        <v>-0.10165799066527725</v>
      </c>
      <c r="F82">
        <f>K82/Performance!$C$36</f>
        <v>6.8603549555775123</v>
      </c>
      <c r="G82">
        <f t="shared" si="10"/>
        <v>2</v>
      </c>
      <c r="H82" s="2">
        <f t="shared" si="26"/>
        <v>71095119818.241074</v>
      </c>
      <c r="I82" s="2" t="b">
        <f t="shared" si="11"/>
        <v>0</v>
      </c>
      <c r="J82" s="2">
        <f t="shared" si="12"/>
        <v>1298592.6276041667</v>
      </c>
      <c r="K82" s="2">
        <f>L82+M82</f>
        <v>1026294493600.589</v>
      </c>
      <c r="L82" s="2">
        <f t="shared" si="14"/>
        <v>173303192755.0842</v>
      </c>
      <c r="M82">
        <f t="shared" si="15"/>
        <v>852991300845.50476</v>
      </c>
      <c r="N82" s="2">
        <f t="shared" si="16"/>
        <v>0</v>
      </c>
      <c r="O82" s="2">
        <f t="shared" si="17"/>
        <v>0</v>
      </c>
      <c r="P82" s="2"/>
    </row>
    <row r="83" spans="1:16">
      <c r="A83" t="str">
        <f t="shared" si="22"/>
        <v>Day 18</v>
      </c>
      <c r="B83" s="4">
        <f t="shared" si="18"/>
        <v>52110.5</v>
      </c>
      <c r="C83">
        <f t="shared" si="23"/>
        <v>219854.62547005154</v>
      </c>
      <c r="D83">
        <f t="shared" si="24"/>
        <v>4.8006320135040816</v>
      </c>
      <c r="E83">
        <f t="shared" si="25"/>
        <v>-0.23583949217437383</v>
      </c>
      <c r="F83">
        <f>K83/Performance!$C$36</f>
        <v>7.6103549555775123</v>
      </c>
      <c r="G83">
        <f t="shared" si="10"/>
        <v>2</v>
      </c>
      <c r="H83" s="2">
        <f t="shared" si="26"/>
        <v>71095119818.241074</v>
      </c>
      <c r="I83" s="2" t="b">
        <f t="shared" si="11"/>
        <v>0</v>
      </c>
      <c r="J83" s="2">
        <f t="shared" si="12"/>
        <v>1298592.6276041667</v>
      </c>
      <c r="K83" s="2">
        <f t="shared" si="13"/>
        <v>1138492896625.5889</v>
      </c>
      <c r="L83" s="2">
        <f t="shared" si="14"/>
        <v>285501595780.08417</v>
      </c>
      <c r="M83">
        <f t="shared" si="15"/>
        <v>852991300845.50476</v>
      </c>
      <c r="N83" s="2">
        <f t="shared" si="16"/>
        <v>0</v>
      </c>
      <c r="O83" s="2">
        <f>($C$35*H83/$C$36)*(1-((H83-I83)/H83)*(LN(H83/(H83-I83))+1))</f>
        <v>0</v>
      </c>
      <c r="P83" s="2"/>
    </row>
    <row r="84" spans="1:16">
      <c r="A84" t="str">
        <f t="shared" si="22"/>
        <v>Day 19</v>
      </c>
      <c r="B84" s="4">
        <f t="shared" si="18"/>
        <v>52111.5</v>
      </c>
      <c r="C84">
        <f t="shared" si="23"/>
        <v>306254.62547005154</v>
      </c>
      <c r="D84">
        <f t="shared" si="24"/>
        <v>5.5385312780739575</v>
      </c>
      <c r="E84">
        <f t="shared" si="25"/>
        <v>-0.37002099368347019</v>
      </c>
      <c r="F84">
        <f>K84/Performance!$C$36</f>
        <v>8.3603549555775114</v>
      </c>
      <c r="G84">
        <f t="shared" si="10"/>
        <v>2</v>
      </c>
      <c r="H84" s="2">
        <f t="shared" si="26"/>
        <v>71095119818.241074</v>
      </c>
      <c r="I84" s="2" t="b">
        <f t="shared" si="11"/>
        <v>0</v>
      </c>
      <c r="J84" s="2">
        <f t="shared" si="12"/>
        <v>1298592.6276041667</v>
      </c>
      <c r="K84" s="2">
        <f t="shared" si="13"/>
        <v>1250691299650.5889</v>
      </c>
      <c r="L84" s="2">
        <f t="shared" si="14"/>
        <v>397699998805.08423</v>
      </c>
      <c r="M84">
        <f t="shared" si="15"/>
        <v>852991300845.50476</v>
      </c>
      <c r="N84" s="2">
        <f t="shared" si="16"/>
        <v>0</v>
      </c>
      <c r="O84" s="2">
        <f t="shared" si="17"/>
        <v>0</v>
      </c>
      <c r="P84" s="2"/>
    </row>
    <row r="85" spans="1:16">
      <c r="A85" t="str">
        <f t="shared" si="22"/>
        <v>Day 20</v>
      </c>
      <c r="B85" s="4">
        <f t="shared" si="18"/>
        <v>52112.5</v>
      </c>
      <c r="C85">
        <f t="shared" si="23"/>
        <v>392654.62547005154</v>
      </c>
      <c r="D85">
        <f t="shared" si="24"/>
        <v>6.2764305426438334</v>
      </c>
      <c r="E85">
        <f t="shared" si="25"/>
        <v>-0.50420249519256677</v>
      </c>
      <c r="F85">
        <f>K85/Performance!$C$36</f>
        <v>9.1103549555775114</v>
      </c>
      <c r="G85">
        <f t="shared" si="10"/>
        <v>2</v>
      </c>
      <c r="H85" s="2">
        <f t="shared" si="26"/>
        <v>71095119818.241074</v>
      </c>
      <c r="I85" s="2" t="b">
        <f t="shared" si="11"/>
        <v>0</v>
      </c>
      <c r="J85" s="2">
        <f t="shared" si="12"/>
        <v>1298592.6276041667</v>
      </c>
      <c r="K85" s="2">
        <f t="shared" si="13"/>
        <v>1362889702675.5889</v>
      </c>
      <c r="L85" s="2">
        <f t="shared" si="14"/>
        <v>509898401830.08423</v>
      </c>
      <c r="M85">
        <f t="shared" si="15"/>
        <v>852991300845.50476</v>
      </c>
      <c r="N85" s="2">
        <f t="shared" si="16"/>
        <v>0</v>
      </c>
      <c r="O85" s="2">
        <f t="shared" si="17"/>
        <v>0</v>
      </c>
      <c r="P85" s="2"/>
    </row>
    <row r="86" spans="1:16">
      <c r="A86" t="str">
        <f t="shared" ref="A86:A92" si="27">CONCATENATE("Day ",INT($B86-$B$6))</f>
        <v>Day 21</v>
      </c>
      <c r="B86" s="4">
        <f t="shared" si="18"/>
        <v>52113.5</v>
      </c>
      <c r="C86">
        <f t="shared" ref="C86:C109" si="28">(B86-IF(G86=1,$B$6,IF(G86=2,$B$7,IF(G86=3,$B$8,$B$9))))*3600*24</f>
        <v>479054.62547005154</v>
      </c>
      <c r="D86">
        <f t="shared" ref="D86:D123" si="29">$C$19+COS($C$24)*$F86</f>
        <v>7.0143298072137092</v>
      </c>
      <c r="E86">
        <f t="shared" ref="E86:E123" si="30">$E$19+SIN($C$24)*$F86</f>
        <v>-0.63838399670166335</v>
      </c>
      <c r="F86">
        <f>K86/Performance!$C$36</f>
        <v>9.8603549555775114</v>
      </c>
      <c r="G86">
        <f t="shared" si="10"/>
        <v>2</v>
      </c>
      <c r="H86" s="2">
        <f t="shared" ref="H86:H92" si="31">IF(G86=1,$C$38,IF(G86=2,$C$45,IF(G86=3,$C$50,$C$57)))</f>
        <v>71095119818.241074</v>
      </c>
      <c r="I86" s="2" t="b">
        <f t="shared" si="11"/>
        <v>0</v>
      </c>
      <c r="J86" s="2">
        <f t="shared" si="12"/>
        <v>1298592.6276041667</v>
      </c>
      <c r="K86" s="2">
        <f t="shared" si="13"/>
        <v>1475088105700.5889</v>
      </c>
      <c r="L86" s="2">
        <f t="shared" si="14"/>
        <v>622096804855.08423</v>
      </c>
      <c r="M86">
        <f t="shared" si="15"/>
        <v>852991300845.50476</v>
      </c>
      <c r="N86" s="2">
        <f t="shared" si="16"/>
        <v>0</v>
      </c>
      <c r="O86" s="2">
        <f t="shared" si="17"/>
        <v>0</v>
      </c>
      <c r="P86" s="2"/>
    </row>
    <row r="87" spans="1:16">
      <c r="A87" t="str">
        <f t="shared" si="27"/>
        <v>Day 22</v>
      </c>
      <c r="B87" s="4">
        <f t="shared" si="18"/>
        <v>52114.5</v>
      </c>
      <c r="C87">
        <f t="shared" si="28"/>
        <v>565454.62547005154</v>
      </c>
      <c r="D87">
        <f t="shared" si="29"/>
        <v>7.7522290717835851</v>
      </c>
      <c r="E87">
        <f t="shared" si="30"/>
        <v>-0.77256549821075993</v>
      </c>
      <c r="F87">
        <f>K87/Performance!$C$36</f>
        <v>10.610354955577511</v>
      </c>
      <c r="G87">
        <f t="shared" si="10"/>
        <v>2</v>
      </c>
      <c r="H87" s="2">
        <f t="shared" si="31"/>
        <v>71095119818.241074</v>
      </c>
      <c r="I87" s="2" t="b">
        <f t="shared" si="11"/>
        <v>0</v>
      </c>
      <c r="J87" s="2">
        <f t="shared" si="12"/>
        <v>1298592.6276041667</v>
      </c>
      <c r="K87" s="2">
        <f t="shared" si="13"/>
        <v>1587286508725.5889</v>
      </c>
      <c r="L87" s="2">
        <f t="shared" si="14"/>
        <v>734295207880.08423</v>
      </c>
      <c r="M87">
        <f t="shared" si="15"/>
        <v>852991300845.50476</v>
      </c>
      <c r="N87" s="2">
        <f t="shared" si="16"/>
        <v>0</v>
      </c>
      <c r="O87" s="2">
        <f t="shared" si="17"/>
        <v>0</v>
      </c>
      <c r="P87" s="2"/>
    </row>
    <row r="88" spans="1:16">
      <c r="A88" t="str">
        <f t="shared" si="27"/>
        <v>Day 23</v>
      </c>
      <c r="B88" s="4">
        <f t="shared" si="18"/>
        <v>52115.5</v>
      </c>
      <c r="C88">
        <f t="shared" si="28"/>
        <v>651854.62547005154</v>
      </c>
      <c r="D88">
        <f t="shared" si="29"/>
        <v>8.4901283363534628</v>
      </c>
      <c r="E88">
        <f t="shared" si="30"/>
        <v>-0.90674699971985628</v>
      </c>
      <c r="F88">
        <f>K88/Performance!$C$36</f>
        <v>11.360354955577511</v>
      </c>
      <c r="G88">
        <f t="shared" si="10"/>
        <v>2</v>
      </c>
      <c r="H88" s="2">
        <f t="shared" si="31"/>
        <v>71095119818.241074</v>
      </c>
      <c r="I88" s="2" t="b">
        <f t="shared" si="11"/>
        <v>0</v>
      </c>
      <c r="J88" s="2">
        <f t="shared" si="12"/>
        <v>1298592.6276041667</v>
      </c>
      <c r="K88" s="2">
        <f t="shared" si="13"/>
        <v>1699484911750.5889</v>
      </c>
      <c r="L88" s="2">
        <f t="shared" si="14"/>
        <v>846493610905.08423</v>
      </c>
      <c r="M88">
        <f t="shared" si="15"/>
        <v>852991300845.50476</v>
      </c>
      <c r="N88" s="2">
        <f t="shared" si="16"/>
        <v>0</v>
      </c>
      <c r="O88" s="2">
        <f t="shared" si="17"/>
        <v>0</v>
      </c>
      <c r="P88" s="2"/>
    </row>
    <row r="89" spans="1:16">
      <c r="A89" t="str">
        <f t="shared" si="27"/>
        <v>Day 30</v>
      </c>
      <c r="B89" s="4">
        <f t="shared" si="18"/>
        <v>52122.5</v>
      </c>
      <c r="C89">
        <f t="shared" si="28"/>
        <v>1256654.6254700515</v>
      </c>
      <c r="D89">
        <f t="shared" si="29"/>
        <v>13.655423188342599</v>
      </c>
      <c r="E89">
        <f t="shared" si="30"/>
        <v>-1.8460175102835326</v>
      </c>
      <c r="F89">
        <f>K89/Performance!$C$36</f>
        <v>16.610354955577513</v>
      </c>
      <c r="G89">
        <f t="shared" si="10"/>
        <v>2</v>
      </c>
      <c r="H89" s="2">
        <f t="shared" si="31"/>
        <v>71095119818.241074</v>
      </c>
      <c r="I89" s="2" t="b">
        <f t="shared" si="11"/>
        <v>0</v>
      </c>
      <c r="J89" s="2">
        <f t="shared" si="12"/>
        <v>1298592.6276041667</v>
      </c>
      <c r="K89" s="2">
        <f t="shared" si="13"/>
        <v>2484873732925.5889</v>
      </c>
      <c r="L89" s="2">
        <f t="shared" si="14"/>
        <v>1631882432080.0842</v>
      </c>
      <c r="M89">
        <f t="shared" si="15"/>
        <v>852991300845.50476</v>
      </c>
      <c r="N89" s="2">
        <f t="shared" si="16"/>
        <v>0</v>
      </c>
      <c r="O89" s="2">
        <f t="shared" si="17"/>
        <v>0</v>
      </c>
      <c r="P89" s="2"/>
    </row>
    <row r="90" spans="1:16">
      <c r="A90" t="str">
        <f t="shared" si="27"/>
        <v>Day 37</v>
      </c>
      <c r="B90" s="4">
        <f t="shared" si="18"/>
        <v>52129.5</v>
      </c>
      <c r="C90">
        <f t="shared" si="28"/>
        <v>1861454.6254700515</v>
      </c>
      <c r="D90">
        <f t="shared" si="29"/>
        <v>18.820718040331734</v>
      </c>
      <c r="E90">
        <f t="shared" si="30"/>
        <v>-2.7852880208472093</v>
      </c>
      <c r="F90">
        <f>K90/Performance!$C$36</f>
        <v>21.860354955577517</v>
      </c>
      <c r="G90">
        <f t="shared" si="10"/>
        <v>2</v>
      </c>
      <c r="H90" s="2">
        <f t="shared" si="31"/>
        <v>71095119818.241074</v>
      </c>
      <c r="I90" s="2" t="b">
        <f t="shared" si="11"/>
        <v>0</v>
      </c>
      <c r="J90" s="2">
        <f t="shared" si="12"/>
        <v>1298592.6276041667</v>
      </c>
      <c r="K90" s="2">
        <f t="shared" si="13"/>
        <v>3270262554100.5894</v>
      </c>
      <c r="L90" s="2">
        <f t="shared" si="14"/>
        <v>2417271253255.0845</v>
      </c>
      <c r="M90">
        <f t="shared" si="15"/>
        <v>852991300845.50476</v>
      </c>
      <c r="N90" s="2">
        <f t="shared" si="16"/>
        <v>0</v>
      </c>
      <c r="O90" s="2">
        <f t="shared" si="17"/>
        <v>0</v>
      </c>
      <c r="P90" s="2"/>
    </row>
    <row r="91" spans="1:16">
      <c r="A91" t="str">
        <f t="shared" si="27"/>
        <v>Day 38</v>
      </c>
      <c r="B91" s="4">
        <f t="shared" si="18"/>
        <v>52130.5</v>
      </c>
      <c r="C91">
        <f t="shared" si="28"/>
        <v>1947854.6254700515</v>
      </c>
      <c r="D91">
        <f t="shared" si="29"/>
        <v>19.558617304901613</v>
      </c>
      <c r="E91">
        <f t="shared" si="30"/>
        <v>-2.9194695223563056</v>
      </c>
      <c r="F91">
        <f>K91/Performance!$C$36</f>
        <v>22.610354955577517</v>
      </c>
      <c r="G91">
        <f t="shared" si="10"/>
        <v>2</v>
      </c>
      <c r="H91" s="2">
        <f t="shared" si="31"/>
        <v>71095119818.241074</v>
      </c>
      <c r="I91" s="2" t="b">
        <f t="shared" si="11"/>
        <v>0</v>
      </c>
      <c r="J91" s="2">
        <f t="shared" si="12"/>
        <v>1298592.6276041667</v>
      </c>
      <c r="K91" s="2">
        <f t="shared" si="13"/>
        <v>3382460957125.5894</v>
      </c>
      <c r="L91" s="2">
        <f t="shared" si="14"/>
        <v>2529469656280.0845</v>
      </c>
      <c r="M91">
        <f t="shared" si="15"/>
        <v>852991300845.50476</v>
      </c>
      <c r="N91" s="2">
        <f t="shared" si="16"/>
        <v>0</v>
      </c>
      <c r="O91" s="2">
        <f t="shared" si="17"/>
        <v>0</v>
      </c>
      <c r="P91" s="2"/>
    </row>
    <row r="92" spans="1:16">
      <c r="A92" t="str">
        <f t="shared" si="27"/>
        <v>Day 39</v>
      </c>
      <c r="B92" s="4">
        <f t="shared" si="18"/>
        <v>52131.5</v>
      </c>
      <c r="C92">
        <f t="shared" si="28"/>
        <v>2034254.6254700515</v>
      </c>
      <c r="D92">
        <f t="shared" si="29"/>
        <v>20.296516569471489</v>
      </c>
      <c r="E92">
        <f t="shared" si="30"/>
        <v>-3.053651023865402</v>
      </c>
      <c r="F92">
        <f>K92/Performance!$C$36</f>
        <v>23.360354955577517</v>
      </c>
      <c r="G92">
        <f t="shared" si="10"/>
        <v>2</v>
      </c>
      <c r="H92" s="2">
        <f t="shared" si="31"/>
        <v>71095119818.241074</v>
      </c>
      <c r="I92" s="2" t="b">
        <f t="shared" si="11"/>
        <v>0</v>
      </c>
      <c r="J92" s="2">
        <f t="shared" si="12"/>
        <v>1298592.6276041667</v>
      </c>
      <c r="K92" s="2">
        <f t="shared" si="13"/>
        <v>3494659360150.5894</v>
      </c>
      <c r="L92" s="2">
        <f t="shared" si="14"/>
        <v>2641668059305.0845</v>
      </c>
      <c r="M92">
        <f t="shared" si="15"/>
        <v>852991300845.50476</v>
      </c>
      <c r="N92" s="2">
        <f t="shared" si="16"/>
        <v>0</v>
      </c>
      <c r="O92" s="2">
        <f t="shared" si="17"/>
        <v>0</v>
      </c>
      <c r="P92" s="2"/>
    </row>
    <row r="93" spans="1:16">
      <c r="A93" t="str">
        <f t="shared" ref="A93:A100" si="32">CONCATENATE("Day ",INT($B93-$B$6))</f>
        <v>Day 40</v>
      </c>
      <c r="B93" s="4">
        <f t="shared" si="18"/>
        <v>52132.5</v>
      </c>
      <c r="C93">
        <f t="shared" ref="C93:C100" si="33">(B93-IF(G93=1,$B$6,IF(G93=2,$B$7,IF(G93=3,$B$8,$B$9))))*3600*24</f>
        <v>2120654.6254700515</v>
      </c>
      <c r="D93">
        <f t="shared" si="29"/>
        <v>21.034415834041365</v>
      </c>
      <c r="E93">
        <f t="shared" si="30"/>
        <v>-3.1878325253744992</v>
      </c>
      <c r="F93">
        <f>K93/Performance!$C$36</f>
        <v>24.110354955577517</v>
      </c>
      <c r="G93">
        <f t="shared" si="10"/>
        <v>2</v>
      </c>
      <c r="H93" s="2">
        <f t="shared" ref="H93:H100" si="34">IF(G93=1,$C$38,IF(G93=2,$C$45,IF(G93=3,$C$50,$C$57)))</f>
        <v>71095119818.241074</v>
      </c>
      <c r="I93" s="2" t="b">
        <f t="shared" ref="I93:I100" si="35">IF(OR(G93=1,G93=3),C93*$C$36)</f>
        <v>0</v>
      </c>
      <c r="J93" s="2">
        <f t="shared" ref="J93:J100" si="36">IF(G93=4,0)+IF(G93=2,$C$34)+IF(G93=1,N93)+IF(G93=3,$C$34-N93)</f>
        <v>1298592.6276041667</v>
      </c>
      <c r="K93" s="2">
        <f t="shared" ref="K93:K100" si="37">L93+M93</f>
        <v>3606857763175.5894</v>
      </c>
      <c r="L93" s="2">
        <f t="shared" si="14"/>
        <v>2753866462330.0845</v>
      </c>
      <c r="M93">
        <f t="shared" ref="M93:M100" si="38">IF(G93=4,$L$9,IF(G93=2,$L$6,IF(G93=3,$L$9-$L$8,0)))</f>
        <v>852991300845.50476</v>
      </c>
      <c r="N93" s="2">
        <f t="shared" ref="N93:N100" si="39">$C$35*LN(H93/(H93-I93))</f>
        <v>0</v>
      </c>
      <c r="O93" s="2">
        <f t="shared" ref="O93:O100" si="40">($C$35*H93/$C$36)*(1-((H93-I93)/H93)*(LN(H93/(H93-I93))+1))</f>
        <v>0</v>
      </c>
      <c r="P93" s="2"/>
    </row>
    <row r="94" spans="1:16">
      <c r="A94" t="str">
        <f t="shared" si="32"/>
        <v>Day 41</v>
      </c>
      <c r="B94" s="4">
        <f t="shared" si="18"/>
        <v>52133.5</v>
      </c>
      <c r="C94">
        <f t="shared" si="33"/>
        <v>2207054.6254700515</v>
      </c>
      <c r="D94">
        <f t="shared" si="29"/>
        <v>21.772315098611241</v>
      </c>
      <c r="E94">
        <f t="shared" si="30"/>
        <v>-3.3220140268835956</v>
      </c>
      <c r="F94">
        <f>K94/Performance!$C$36</f>
        <v>24.860354955577517</v>
      </c>
      <c r="G94">
        <f t="shared" si="10"/>
        <v>2</v>
      </c>
      <c r="H94" s="2">
        <f t="shared" si="34"/>
        <v>71095119818.241074</v>
      </c>
      <c r="I94" s="2" t="b">
        <f t="shared" si="35"/>
        <v>0</v>
      </c>
      <c r="J94" s="2">
        <f t="shared" si="36"/>
        <v>1298592.6276041667</v>
      </c>
      <c r="K94" s="2">
        <f t="shared" si="37"/>
        <v>3719056166200.5894</v>
      </c>
      <c r="L94" s="2">
        <f t="shared" si="14"/>
        <v>2866064865355.0845</v>
      </c>
      <c r="M94">
        <f t="shared" si="38"/>
        <v>852991300845.50476</v>
      </c>
      <c r="N94" s="2">
        <f t="shared" si="39"/>
        <v>0</v>
      </c>
      <c r="O94" s="2">
        <f t="shared" si="40"/>
        <v>0</v>
      </c>
      <c r="P94" s="2"/>
    </row>
    <row r="95" spans="1:16">
      <c r="A95" t="str">
        <f t="shared" si="32"/>
        <v>Day 42</v>
      </c>
      <c r="B95" s="4">
        <f t="shared" si="18"/>
        <v>52134.5</v>
      </c>
      <c r="C95">
        <f t="shared" si="33"/>
        <v>2293454.6254700515</v>
      </c>
      <c r="D95">
        <f t="shared" si="29"/>
        <v>22.510214363181117</v>
      </c>
      <c r="E95">
        <f t="shared" si="30"/>
        <v>-3.456195528392692</v>
      </c>
      <c r="F95">
        <f>K95/Performance!$C$36</f>
        <v>25.610354955577517</v>
      </c>
      <c r="G95">
        <f t="shared" si="10"/>
        <v>2</v>
      </c>
      <c r="H95" s="2">
        <f t="shared" si="34"/>
        <v>71095119818.241074</v>
      </c>
      <c r="I95" s="2" t="b">
        <f t="shared" si="35"/>
        <v>0</v>
      </c>
      <c r="J95" s="2">
        <f t="shared" si="36"/>
        <v>1298592.6276041667</v>
      </c>
      <c r="K95" s="2">
        <f t="shared" si="37"/>
        <v>3831254569225.5894</v>
      </c>
      <c r="L95" s="2">
        <f t="shared" si="14"/>
        <v>2978263268380.0845</v>
      </c>
      <c r="M95">
        <f t="shared" si="38"/>
        <v>852991300845.50476</v>
      </c>
      <c r="N95" s="2">
        <f t="shared" si="39"/>
        <v>0</v>
      </c>
      <c r="O95" s="2">
        <f t="shared" si="40"/>
        <v>0</v>
      </c>
      <c r="P95" s="2"/>
    </row>
    <row r="96" spans="1:16">
      <c r="A96" t="str">
        <f t="shared" si="32"/>
        <v>Day 43</v>
      </c>
      <c r="B96" s="4">
        <f t="shared" si="18"/>
        <v>52135.5</v>
      </c>
      <c r="C96">
        <f>(B96-IF(G96=1,$B$6,IF(G96=2,$B$7,IF(G96=3,$B$8,$B$9))))*3600*24</f>
        <v>2379854.6254700515</v>
      </c>
      <c r="D96">
        <f t="shared" si="29"/>
        <v>23.248113627750993</v>
      </c>
      <c r="E96">
        <f t="shared" si="30"/>
        <v>-3.5903770299017883</v>
      </c>
      <c r="F96">
        <f>K96/Performance!$C$36</f>
        <v>26.360354955577517</v>
      </c>
      <c r="G96">
        <f t="shared" si="10"/>
        <v>2</v>
      </c>
      <c r="H96" s="2">
        <f t="shared" si="34"/>
        <v>71095119818.241074</v>
      </c>
      <c r="I96" s="2" t="b">
        <f t="shared" si="35"/>
        <v>0</v>
      </c>
      <c r="J96" s="2">
        <f t="shared" si="36"/>
        <v>1298592.6276041667</v>
      </c>
      <c r="K96" s="2">
        <f t="shared" si="37"/>
        <v>3943452972250.5894</v>
      </c>
      <c r="L96" s="2">
        <f t="shared" si="14"/>
        <v>3090461671405.0845</v>
      </c>
      <c r="M96">
        <f t="shared" si="38"/>
        <v>852991300845.50476</v>
      </c>
      <c r="N96" s="2">
        <f t="shared" si="39"/>
        <v>0</v>
      </c>
      <c r="O96" s="2">
        <f t="shared" si="40"/>
        <v>0</v>
      </c>
      <c r="P96" s="2"/>
    </row>
    <row r="97" spans="1:16">
      <c r="A97" t="str">
        <f t="shared" si="32"/>
        <v>Day 44</v>
      </c>
      <c r="B97" s="4">
        <f t="shared" si="18"/>
        <v>52136.5</v>
      </c>
      <c r="C97">
        <f t="shared" si="33"/>
        <v>2466254.6254700515</v>
      </c>
      <c r="D97">
        <f t="shared" si="29"/>
        <v>23.986012892320868</v>
      </c>
      <c r="E97">
        <f t="shared" si="30"/>
        <v>-3.7245585314108847</v>
      </c>
      <c r="F97">
        <f>K97/Performance!$C$36</f>
        <v>27.110354955577517</v>
      </c>
      <c r="G97">
        <f t="shared" si="10"/>
        <v>2</v>
      </c>
      <c r="H97" s="2">
        <f t="shared" si="34"/>
        <v>71095119818.241074</v>
      </c>
      <c r="I97" s="2" t="b">
        <f t="shared" si="35"/>
        <v>0</v>
      </c>
      <c r="J97" s="2">
        <f t="shared" si="36"/>
        <v>1298592.6276041667</v>
      </c>
      <c r="K97" s="2">
        <f t="shared" si="37"/>
        <v>4055651375275.5894</v>
      </c>
      <c r="L97" s="2">
        <f t="shared" si="14"/>
        <v>3202660074430.0845</v>
      </c>
      <c r="M97">
        <f t="shared" si="38"/>
        <v>852991300845.50476</v>
      </c>
      <c r="N97" s="2">
        <f t="shared" si="39"/>
        <v>0</v>
      </c>
      <c r="O97" s="2">
        <f t="shared" si="40"/>
        <v>0</v>
      </c>
      <c r="P97" s="2"/>
    </row>
    <row r="98" spans="1:16">
      <c r="A98" t="str">
        <f t="shared" si="32"/>
        <v>Day 45</v>
      </c>
      <c r="B98" s="4">
        <f t="shared" si="18"/>
        <v>52137.5</v>
      </c>
      <c r="C98">
        <f t="shared" si="33"/>
        <v>2552654.6254700515</v>
      </c>
      <c r="D98">
        <f t="shared" si="29"/>
        <v>24.723912156890744</v>
      </c>
      <c r="E98">
        <f t="shared" si="30"/>
        <v>-3.8587400329199819</v>
      </c>
      <c r="F98">
        <f>K98/Performance!$C$36</f>
        <v>27.860354955577517</v>
      </c>
      <c r="G98">
        <f t="shared" si="10"/>
        <v>2</v>
      </c>
      <c r="H98" s="2">
        <f t="shared" si="34"/>
        <v>71095119818.241074</v>
      </c>
      <c r="I98" s="2" t="b">
        <f t="shared" si="35"/>
        <v>0</v>
      </c>
      <c r="J98" s="2">
        <f t="shared" si="36"/>
        <v>1298592.6276041667</v>
      </c>
      <c r="K98" s="2">
        <f t="shared" si="37"/>
        <v>4167849778300.5894</v>
      </c>
      <c r="L98" s="2">
        <f t="shared" si="14"/>
        <v>3314858477455.0845</v>
      </c>
      <c r="M98">
        <f t="shared" si="38"/>
        <v>852991300845.50476</v>
      </c>
      <c r="N98" s="2">
        <f t="shared" si="39"/>
        <v>0</v>
      </c>
      <c r="O98" s="2">
        <f t="shared" si="40"/>
        <v>0</v>
      </c>
      <c r="P98" s="2"/>
    </row>
    <row r="99" spans="1:16">
      <c r="A99" t="str">
        <f t="shared" si="32"/>
        <v>Day 46</v>
      </c>
      <c r="B99" s="4">
        <f t="shared" si="18"/>
        <v>52138.5</v>
      </c>
      <c r="C99">
        <f t="shared" si="33"/>
        <v>2639054.6254700515</v>
      </c>
      <c r="D99">
        <f t="shared" si="29"/>
        <v>25.46181142146062</v>
      </c>
      <c r="E99">
        <f t="shared" si="30"/>
        <v>-3.9929215344290783</v>
      </c>
      <c r="F99">
        <f>K99/Performance!$C$36</f>
        <v>28.610354955577517</v>
      </c>
      <c r="G99">
        <f t="shared" si="10"/>
        <v>2</v>
      </c>
      <c r="H99" s="2">
        <f t="shared" si="34"/>
        <v>71095119818.241074</v>
      </c>
      <c r="I99" s="2" t="b">
        <f t="shared" si="35"/>
        <v>0</v>
      </c>
      <c r="J99" s="2">
        <f t="shared" si="36"/>
        <v>1298592.6276041667</v>
      </c>
      <c r="K99" s="2">
        <f t="shared" si="37"/>
        <v>4280048181325.5894</v>
      </c>
      <c r="L99" s="2">
        <f t="shared" si="14"/>
        <v>3427056880480.0845</v>
      </c>
      <c r="M99">
        <f t="shared" si="38"/>
        <v>852991300845.50476</v>
      </c>
      <c r="N99" s="2">
        <f t="shared" si="39"/>
        <v>0</v>
      </c>
      <c r="O99" s="2">
        <f t="shared" si="40"/>
        <v>0</v>
      </c>
      <c r="P99" s="2"/>
    </row>
    <row r="100" spans="1:16">
      <c r="A100" t="str">
        <f t="shared" si="32"/>
        <v>Day 47</v>
      </c>
      <c r="B100" s="4">
        <f t="shared" si="18"/>
        <v>52139.5</v>
      </c>
      <c r="C100">
        <f t="shared" si="33"/>
        <v>33955.564516922459</v>
      </c>
      <c r="D100">
        <f t="shared" si="29"/>
        <v>26.195835120774777</v>
      </c>
      <c r="E100">
        <f t="shared" si="30"/>
        <v>-4.1263982931769636</v>
      </c>
      <c r="F100">
        <f>K100/Performance!$C$36</f>
        <v>29.35641583531903</v>
      </c>
      <c r="G100">
        <f t="shared" si="10"/>
        <v>3</v>
      </c>
      <c r="H100" s="2">
        <f t="shared" si="34"/>
        <v>71095119818.241074</v>
      </c>
      <c r="I100" s="2">
        <f t="shared" si="35"/>
        <v>184541386.28909376</v>
      </c>
      <c r="J100" s="2">
        <f t="shared" si="36"/>
        <v>1263868.4586747778</v>
      </c>
      <c r="K100" s="2">
        <f t="shared" si="37"/>
        <v>4391657300347.4888</v>
      </c>
      <c r="L100" s="2">
        <f t="shared" si="14"/>
        <v>43505161744.394562</v>
      </c>
      <c r="M100">
        <f t="shared" si="38"/>
        <v>4348152138603.0942</v>
      </c>
      <c r="N100" s="2">
        <f t="shared" si="39"/>
        <v>34724.168929388958</v>
      </c>
      <c r="O100" s="2">
        <f t="shared" si="40"/>
        <v>589284003.41858387</v>
      </c>
      <c r="P100" s="2"/>
    </row>
    <row r="101" spans="1:16">
      <c r="A101" t="str">
        <f t="shared" ref="A101:A109" si="41">CONCATENATE("Day ",INT($B101-$B$6))</f>
        <v>Day 48</v>
      </c>
      <c r="B101" s="4">
        <f t="shared" si="18"/>
        <v>52140.5</v>
      </c>
      <c r="C101">
        <f t="shared" si="28"/>
        <v>120355.56451692246</v>
      </c>
      <c r="D101">
        <f t="shared" si="29"/>
        <v>26.888811570316857</v>
      </c>
      <c r="E101">
        <f t="shared" si="30"/>
        <v>-4.2524109143769593</v>
      </c>
      <c r="F101">
        <f>K101/Performance!$C$36</f>
        <v>30.060756335589772</v>
      </c>
      <c r="G101">
        <f t="shared" si="10"/>
        <v>3</v>
      </c>
      <c r="H101" s="2">
        <f t="shared" ref="H101:H109" si="42">IF(G101=1,$C$38,IF(G101=2,$C$45,IF(G101=3,$C$50,$C$57)))</f>
        <v>71095119818.241074</v>
      </c>
      <c r="I101" s="2">
        <f t="shared" si="11"/>
        <v>654107302.86902559</v>
      </c>
      <c r="J101" s="2">
        <f t="shared" si="12"/>
        <v>1175103.598864181</v>
      </c>
      <c r="K101" s="2">
        <f t="shared" si="13"/>
        <v>4497025139435.7646</v>
      </c>
      <c r="L101" s="2">
        <f t="shared" si="14"/>
        <v>148873000832.67059</v>
      </c>
      <c r="M101">
        <f t="shared" si="15"/>
        <v>4348152138603.0942</v>
      </c>
      <c r="N101" s="2">
        <f t="shared" si="16"/>
        <v>123489.02873998586</v>
      </c>
      <c r="O101" s="2">
        <f t="shared" si="17"/>
        <v>7419847940.1425543</v>
      </c>
      <c r="P101" s="2"/>
    </row>
    <row r="102" spans="1:16">
      <c r="A102" t="str">
        <f t="shared" si="41"/>
        <v>Day 49</v>
      </c>
      <c r="B102" s="4">
        <f t="shared" si="18"/>
        <v>52141.5</v>
      </c>
      <c r="C102">
        <f t="shared" si="28"/>
        <v>206755.56451692246</v>
      </c>
      <c r="D102">
        <f t="shared" si="29"/>
        <v>27.53118086167899</v>
      </c>
      <c r="E102">
        <f t="shared" si="30"/>
        <v>-4.3692209996784364</v>
      </c>
      <c r="F102">
        <f>K102/Performance!$C$36</f>
        <v>30.713659776010502</v>
      </c>
      <c r="G102">
        <f t="shared" si="10"/>
        <v>3</v>
      </c>
      <c r="H102" s="2">
        <f t="shared" si="42"/>
        <v>71095119818.241074</v>
      </c>
      <c r="I102" s="2">
        <f t="shared" si="11"/>
        <v>1123673219.4489572</v>
      </c>
      <c r="J102" s="2">
        <f t="shared" si="12"/>
        <v>1085745.0415604534</v>
      </c>
      <c r="K102" s="2">
        <f t="shared" si="13"/>
        <v>4594698103895.4102</v>
      </c>
      <c r="L102" s="2">
        <f t="shared" si="14"/>
        <v>246545965292.31549</v>
      </c>
      <c r="M102">
        <f t="shared" si="15"/>
        <v>4348152138603.0942</v>
      </c>
      <c r="N102" s="2">
        <f t="shared" si="16"/>
        <v>212847.58604371335</v>
      </c>
      <c r="O102" s="2">
        <f t="shared" si="17"/>
        <v>21945286505.497677</v>
      </c>
      <c r="P102" s="2"/>
    </row>
    <row r="103" spans="1:16">
      <c r="A103" t="str">
        <f t="shared" si="41"/>
        <v>Day 50</v>
      </c>
      <c r="B103" s="4">
        <f t="shared" si="18"/>
        <v>52142.5</v>
      </c>
      <c r="C103">
        <f t="shared" si="28"/>
        <v>293155.56451692246</v>
      </c>
      <c r="D103">
        <f t="shared" si="29"/>
        <v>28.122603374154814</v>
      </c>
      <c r="E103">
        <f t="shared" si="30"/>
        <v>-4.4767667915780205</v>
      </c>
      <c r="F103">
        <f>K103/Performance!$C$36</f>
        <v>31.314780966469236</v>
      </c>
      <c r="G103">
        <f t="shared" si="10"/>
        <v>3</v>
      </c>
      <c r="H103" s="2">
        <f t="shared" si="42"/>
        <v>71095119818.241074</v>
      </c>
      <c r="I103" s="2">
        <f t="shared" si="11"/>
        <v>1593239136.0288892</v>
      </c>
      <c r="J103" s="2">
        <f t="shared" si="12"/>
        <v>995784.79145003506</v>
      </c>
      <c r="K103" s="2">
        <f t="shared" si="13"/>
        <v>4684624554020.6855</v>
      </c>
      <c r="L103" s="2">
        <f t="shared" si="14"/>
        <v>336472415417.59082</v>
      </c>
      <c r="M103">
        <f t="shared" si="15"/>
        <v>4348152138603.0942</v>
      </c>
      <c r="N103" s="2">
        <f t="shared" si="16"/>
        <v>302807.83615413174</v>
      </c>
      <c r="O103" s="2">
        <f t="shared" si="17"/>
        <v>44217239405.222359</v>
      </c>
      <c r="P103" s="2"/>
    </row>
    <row r="104" spans="1:16">
      <c r="A104" t="str">
        <f t="shared" si="41"/>
        <v>Day 51</v>
      </c>
      <c r="B104" s="4">
        <f t="shared" si="18"/>
        <v>52143.5</v>
      </c>
      <c r="C104">
        <f t="shared" si="28"/>
        <v>379555.56451692246</v>
      </c>
      <c r="D104">
        <f t="shared" si="29"/>
        <v>28.662734897868134</v>
      </c>
      <c r="E104">
        <f t="shared" si="30"/>
        <v>-4.5749856980658805</v>
      </c>
      <c r="F104">
        <f>K104/Performance!$C$36</f>
        <v>31.863770052426819</v>
      </c>
      <c r="G104">
        <f t="shared" si="10"/>
        <v>3</v>
      </c>
      <c r="H104" s="2">
        <f t="shared" si="42"/>
        <v>71095119818.241074</v>
      </c>
      <c r="I104" s="2">
        <f t="shared" si="11"/>
        <v>2062805052.6088209</v>
      </c>
      <c r="J104" s="2">
        <f t="shared" si="12"/>
        <v>905214.6906147236</v>
      </c>
      <c r="K104" s="2">
        <f t="shared" si="13"/>
        <v>4766752152317.4795</v>
      </c>
      <c r="L104" s="2">
        <f t="shared" si="14"/>
        <v>418600013714.38525</v>
      </c>
      <c r="M104">
        <f t="shared" si="15"/>
        <v>4348152138603.0942</v>
      </c>
      <c r="N104" s="2">
        <f t="shared" si="16"/>
        <v>393377.93698944309</v>
      </c>
      <c r="O104" s="2">
        <f t="shared" si="17"/>
        <v>74288044133.427917</v>
      </c>
      <c r="P104" s="2"/>
    </row>
    <row r="105" spans="1:16">
      <c r="A105" t="str">
        <f t="shared" si="41"/>
        <v>Day 52</v>
      </c>
      <c r="B105" s="4">
        <f t="shared" si="18"/>
        <v>52144.5</v>
      </c>
      <c r="C105">
        <f t="shared" si="28"/>
        <v>465955.56451692246</v>
      </c>
      <c r="D105">
        <f t="shared" si="29"/>
        <v>29.151226540123648</v>
      </c>
      <c r="E105">
        <f t="shared" si="30"/>
        <v>-4.663814275596307</v>
      </c>
      <c r="F105">
        <f>K105/Performance!$C$36</f>
        <v>32.36027241973192</v>
      </c>
      <c r="G105">
        <f t="shared" si="10"/>
        <v>3</v>
      </c>
      <c r="H105" s="2">
        <f t="shared" si="42"/>
        <v>71095119818.241074</v>
      </c>
      <c r="I105" s="2">
        <f t="shared" si="11"/>
        <v>2532370969.1887527</v>
      </c>
      <c r="J105" s="2">
        <f t="shared" si="12"/>
        <v>814026.41409228509</v>
      </c>
      <c r="K105" s="2">
        <f t="shared" si="13"/>
        <v>4841027849263.832</v>
      </c>
      <c r="L105" s="2">
        <f t="shared" si="14"/>
        <v>492875710660.73804</v>
      </c>
      <c r="M105">
        <f t="shared" si="15"/>
        <v>4348152138603.0942</v>
      </c>
      <c r="N105" s="2">
        <f t="shared" si="16"/>
        <v>484566.21351188159</v>
      </c>
      <c r="O105" s="2">
        <f t="shared" si="17"/>
        <v>112210750212.07516</v>
      </c>
      <c r="P105" s="2"/>
    </row>
    <row r="106" spans="1:16">
      <c r="A106" t="str">
        <f t="shared" si="41"/>
        <v>Day 53</v>
      </c>
      <c r="B106" s="4">
        <f t="shared" si="18"/>
        <v>52145.5</v>
      </c>
      <c r="C106">
        <f t="shared" si="28"/>
        <v>552355.56451692246</v>
      </c>
      <c r="D106">
        <f t="shared" si="29"/>
        <v>29.587724629190365</v>
      </c>
      <c r="E106">
        <f t="shared" si="30"/>
        <v>-4.7431882115914377</v>
      </c>
      <c r="F106">
        <f>K106/Performance!$C$36</f>
        <v>32.803928596826587</v>
      </c>
      <c r="G106">
        <f t="shared" si="10"/>
        <v>3</v>
      </c>
      <c r="H106" s="2">
        <f t="shared" si="42"/>
        <v>71095119818.241074</v>
      </c>
      <c r="I106" s="2">
        <f t="shared" si="11"/>
        <v>3001936885.7686844</v>
      </c>
      <c r="J106" s="2">
        <f t="shared" si="12"/>
        <v>722211.46528447908</v>
      </c>
      <c r="K106" s="2">
        <f t="shared" si="13"/>
        <v>4907397868680.0957</v>
      </c>
      <c r="L106" s="2">
        <f t="shared" si="14"/>
        <v>559245730077.00195</v>
      </c>
      <c r="M106">
        <f t="shared" si="15"/>
        <v>4348152138603.0942</v>
      </c>
      <c r="N106" s="2">
        <f t="shared" si="16"/>
        <v>576381.16231968766</v>
      </c>
      <c r="O106" s="2">
        <f t="shared" si="17"/>
        <v>158039133820.81125</v>
      </c>
      <c r="P106" s="2"/>
    </row>
    <row r="107" spans="1:16">
      <c r="A107" t="str">
        <f t="shared" si="41"/>
        <v>Day 54</v>
      </c>
      <c r="B107" s="4">
        <f t="shared" si="18"/>
        <v>52146.5</v>
      </c>
      <c r="C107">
        <f t="shared" si="28"/>
        <v>638755.56451692246</v>
      </c>
      <c r="D107">
        <f t="shared" si="29"/>
        <v>29.971870615428895</v>
      </c>
      <c r="E107">
        <f t="shared" si="30"/>
        <v>-4.8130423064619965</v>
      </c>
      <c r="F107">
        <f>K107/Performance!$C$36</f>
        <v>33.194374154252152</v>
      </c>
      <c r="G107">
        <f t="shared" si="10"/>
        <v>3</v>
      </c>
      <c r="H107" s="2">
        <f t="shared" si="42"/>
        <v>71095119818.241074</v>
      </c>
      <c r="I107" s="2">
        <f t="shared" si="11"/>
        <v>3471502802.3486161</v>
      </c>
      <c r="J107" s="2">
        <f t="shared" si="12"/>
        <v>629761.17120624881</v>
      </c>
      <c r="K107" s="2">
        <f t="shared" si="13"/>
        <v>4965807692695.2354</v>
      </c>
      <c r="L107" s="2">
        <f t="shared" si="14"/>
        <v>617655554092.14148</v>
      </c>
      <c r="M107">
        <f t="shared" si="15"/>
        <v>4348152138603.0942</v>
      </c>
      <c r="N107" s="2">
        <f t="shared" si="16"/>
        <v>668831.45639791794</v>
      </c>
      <c r="O107" s="2">
        <f t="shared" si="17"/>
        <v>211827712830.67175</v>
      </c>
      <c r="P107" s="2"/>
    </row>
    <row r="108" spans="1:16">
      <c r="A108" t="str">
        <f t="shared" si="41"/>
        <v>Day 55</v>
      </c>
      <c r="B108" s="4">
        <f t="shared" si="18"/>
        <v>52147.5</v>
      </c>
      <c r="C108">
        <f t="shared" si="28"/>
        <v>725155.56451692246</v>
      </c>
      <c r="D108">
        <f t="shared" si="29"/>
        <v>30.303300969676567</v>
      </c>
      <c r="E108">
        <f t="shared" si="30"/>
        <v>-4.8733104551293707</v>
      </c>
      <c r="F108">
        <f>K108/Performance!$C$36</f>
        <v>33.53123960136795</v>
      </c>
      <c r="G108">
        <f t="shared" si="10"/>
        <v>3</v>
      </c>
      <c r="H108" s="2">
        <f t="shared" si="42"/>
        <v>71095119818.241074</v>
      </c>
      <c r="I108" s="2">
        <f t="shared" si="11"/>
        <v>3941068718.9285479</v>
      </c>
      <c r="J108" s="2">
        <f t="shared" si="12"/>
        <v>536666.67756934592</v>
      </c>
      <c r="K108" s="2">
        <f t="shared" si="13"/>
        <v>5016202046296.1621</v>
      </c>
      <c r="L108" s="2">
        <f t="shared" si="14"/>
        <v>668049907693.06812</v>
      </c>
      <c r="M108">
        <f t="shared" si="15"/>
        <v>4348152138603.0942</v>
      </c>
      <c r="N108" s="2">
        <f t="shared" si="16"/>
        <v>761925.95003482082</v>
      </c>
      <c r="O108" s="2">
        <f t="shared" si="17"/>
        <v>273631762254.74509</v>
      </c>
      <c r="P108" s="2"/>
    </row>
    <row r="109" spans="1:16">
      <c r="A109" t="str">
        <f t="shared" si="41"/>
        <v>Day 56</v>
      </c>
      <c r="B109" s="4">
        <f t="shared" si="18"/>
        <v>52148.5</v>
      </c>
      <c r="C109">
        <f t="shared" si="28"/>
        <v>811555.56451692246</v>
      </c>
      <c r="D109">
        <f t="shared" si="29"/>
        <v>30.581647078786158</v>
      </c>
      <c r="E109">
        <f t="shared" si="30"/>
        <v>-4.9239256280301191</v>
      </c>
      <c r="F109">
        <f>K109/Performance!$C$36</f>
        <v>33.814150280177046</v>
      </c>
      <c r="G109">
        <f t="shared" si="10"/>
        <v>3</v>
      </c>
      <c r="H109" s="2">
        <f t="shared" si="42"/>
        <v>71095119818.241074</v>
      </c>
      <c r="I109" s="2">
        <f t="shared" si="11"/>
        <v>4410634635.5084801</v>
      </c>
      <c r="J109" s="2">
        <f t="shared" si="12"/>
        <v>442918.94369349314</v>
      </c>
      <c r="K109" s="2">
        <f t="shared" si="13"/>
        <v>5058524881444.2939</v>
      </c>
      <c r="L109" s="2">
        <f t="shared" si="14"/>
        <v>710372742841.19971</v>
      </c>
      <c r="M109">
        <f t="shared" si="15"/>
        <v>4348152138603.0942</v>
      </c>
      <c r="N109" s="2">
        <f t="shared" si="16"/>
        <v>855673.6839106736</v>
      </c>
      <c r="O109" s="2">
        <f t="shared" si="17"/>
        <v>343507330131.61359</v>
      </c>
      <c r="P109" s="2"/>
    </row>
    <row r="110" spans="1:16">
      <c r="A110" t="str">
        <f t="shared" ref="A110:A123" si="43">CONCATENATE("Day ",INT($B110-$B$6))</f>
        <v>Day 57</v>
      </c>
      <c r="B110" s="4">
        <f t="shared" si="18"/>
        <v>52149.5</v>
      </c>
      <c r="C110">
        <f t="shared" ref="C110:C113" si="44">(B110-IF(G110=1,$B$6,IF(G110=2,$B$7,IF(G110=3,$B$8,$B$9))))*3600*24</f>
        <v>897955.56451692246</v>
      </c>
      <c r="D110">
        <f t="shared" si="29"/>
        <v>30.806535138226241</v>
      </c>
      <c r="E110">
        <f t="shared" si="30"/>
        <v>-4.9648198515861317</v>
      </c>
      <c r="F110">
        <f>K110/Performance!$C$36</f>
        <v>34.042726256165281</v>
      </c>
      <c r="G110">
        <f t="shared" si="10"/>
        <v>3</v>
      </c>
      <c r="H110" s="2">
        <f t="shared" ref="H110:H123" si="45">IF(G110=1,$C$38,IF(G110=2,$C$45,IF(G110=3,$C$50,$C$57)))</f>
        <v>71095119818.241074</v>
      </c>
      <c r="I110" s="2">
        <f t="shared" si="11"/>
        <v>4880200552.0884113</v>
      </c>
      <c r="J110" s="2">
        <f t="shared" si="12"/>
        <v>348508.73723772157</v>
      </c>
      <c r="K110" s="2">
        <f t="shared" si="13"/>
        <v>5092719360745.3086</v>
      </c>
      <c r="L110" s="2">
        <f t="shared" si="14"/>
        <v>744567222142.21387</v>
      </c>
      <c r="M110">
        <f t="shared" si="15"/>
        <v>4348152138603.0942</v>
      </c>
      <c r="N110" s="2">
        <f t="shared" si="16"/>
        <v>950083.89036644518</v>
      </c>
      <c r="O110" s="2">
        <f t="shared" si="17"/>
        <v>421511253855.5993</v>
      </c>
      <c r="P110" s="2"/>
    </row>
    <row r="111" spans="1:16">
      <c r="A111" t="str">
        <f t="shared" si="43"/>
        <v>Day 58</v>
      </c>
      <c r="B111" s="4">
        <f t="shared" si="18"/>
        <v>52150.5</v>
      </c>
      <c r="C111">
        <f t="shared" si="44"/>
        <v>984355.56451692246</v>
      </c>
      <c r="D111">
        <f t="shared" si="29"/>
        <v>30.977586041630108</v>
      </c>
      <c r="E111">
        <f t="shared" si="30"/>
        <v>-4.9959241881199219</v>
      </c>
      <c r="F111">
        <f>K111/Performance!$C$36</f>
        <v>34.216582206038979</v>
      </c>
      <c r="G111">
        <f t="shared" si="10"/>
        <v>3</v>
      </c>
      <c r="H111" s="2">
        <f t="shared" si="45"/>
        <v>71095119818.241074</v>
      </c>
      <c r="I111" s="2">
        <f t="shared" si="11"/>
        <v>5349766468.6683435</v>
      </c>
      <c r="J111" s="2">
        <f t="shared" si="12"/>
        <v>253426.62874422944</v>
      </c>
      <c r="K111" s="2">
        <f t="shared" si="13"/>
        <v>5118727840654.9395</v>
      </c>
      <c r="L111" s="2">
        <f t="shared" si="14"/>
        <v>770575702051.84485</v>
      </c>
      <c r="M111">
        <f t="shared" si="15"/>
        <v>4348152138603.0942</v>
      </c>
      <c r="N111" s="2">
        <f t="shared" si="16"/>
        <v>1045165.9988599373</v>
      </c>
      <c r="O111" s="2">
        <f t="shared" si="17"/>
        <v>507701176970.96838</v>
      </c>
      <c r="P111" s="2"/>
    </row>
    <row r="112" spans="1:16">
      <c r="A112" t="str">
        <f t="shared" si="43"/>
        <v>Day 59</v>
      </c>
      <c r="B112" s="4">
        <f t="shared" si="18"/>
        <v>52151.5</v>
      </c>
      <c r="C112">
        <f t="shared" si="44"/>
        <v>1070755.5645169225</v>
      </c>
      <c r="D112">
        <f t="shared" si="29"/>
        <v>31.09441526719424</v>
      </c>
      <c r="E112">
        <f t="shared" si="30"/>
        <v>-5.0171687151970392</v>
      </c>
      <c r="F112">
        <f>K112/Performance!$C$36</f>
        <v>34.335327302260445</v>
      </c>
      <c r="G112">
        <f t="shared" si="10"/>
        <v>3</v>
      </c>
      <c r="H112" s="2">
        <f t="shared" si="45"/>
        <v>71095119818.241074</v>
      </c>
      <c r="I112" s="2">
        <f t="shared" si="11"/>
        <v>5819332385.2482748</v>
      </c>
      <c r="J112" s="2">
        <f t="shared" si="12"/>
        <v>157662.98598670657</v>
      </c>
      <c r="K112" s="2">
        <f t="shared" si="13"/>
        <v>5136491854205.7383</v>
      </c>
      <c r="L112" s="2">
        <f t="shared" si="14"/>
        <v>788339715602.64441</v>
      </c>
      <c r="M112">
        <f t="shared" si="15"/>
        <v>4348152138603.0942</v>
      </c>
      <c r="N112" s="2">
        <f t="shared" si="16"/>
        <v>1140929.6416174602</v>
      </c>
      <c r="O112" s="2">
        <f t="shared" si="17"/>
        <v>602135566445.16882</v>
      </c>
      <c r="P112" s="2"/>
    </row>
    <row r="113" spans="1:16">
      <c r="A113" t="str">
        <f t="shared" si="43"/>
        <v>Day 60</v>
      </c>
      <c r="B113" s="4">
        <f t="shared" si="18"/>
        <v>52152.5</v>
      </c>
      <c r="C113">
        <f t="shared" si="44"/>
        <v>1157155.5645169225</v>
      </c>
      <c r="D113">
        <f t="shared" si="29"/>
        <v>31.156632760804353</v>
      </c>
      <c r="E113">
        <f t="shared" si="30"/>
        <v>-5.0284825043734038</v>
      </c>
      <c r="F113">
        <f>K113/Performance!$C$36</f>
        <v>34.398565094257414</v>
      </c>
      <c r="G113">
        <f t="shared" si="10"/>
        <v>3</v>
      </c>
      <c r="H113" s="2">
        <f t="shared" si="45"/>
        <v>71095119818.241074</v>
      </c>
      <c r="I113" s="2">
        <f t="shared" si="11"/>
        <v>6288898301.828207</v>
      </c>
      <c r="J113" s="2">
        <f t="shared" si="12"/>
        <v>61207.968114620307</v>
      </c>
      <c r="K113" s="2">
        <f t="shared" si="13"/>
        <v>5145952093236.2539</v>
      </c>
      <c r="L113" s="2">
        <f t="shared" si="14"/>
        <v>797799954633.15942</v>
      </c>
      <c r="M113">
        <f t="shared" si="15"/>
        <v>4348152138603.0942</v>
      </c>
      <c r="N113" s="2">
        <f t="shared" si="16"/>
        <v>1237384.6594895464</v>
      </c>
      <c r="O113" s="2">
        <f t="shared" si="17"/>
        <v>704873730439.65381</v>
      </c>
      <c r="P113" s="2"/>
    </row>
    <row r="114" spans="1:16">
      <c r="A114" t="str">
        <f t="shared" si="43"/>
        <v>Day 61</v>
      </c>
      <c r="B114" s="4">
        <f t="shared" ref="B114:B123" si="46">B113+IF(B113&lt;$B$7+7,1,IF(B113&gt;($B$8-14),1,7))</f>
        <v>52153.5</v>
      </c>
      <c r="C114">
        <f t="shared" ref="C114:C123" si="47">(B114-IF(G114=1,$B$6,IF(G114=2,$B$7,IF(G114=3,$B$8,$B$9))))*3600*24</f>
        <v>31895.322138047777</v>
      </c>
      <c r="D114">
        <f t="shared" si="29"/>
        <v>30.999999999999996</v>
      </c>
      <c r="E114">
        <f t="shared" si="30"/>
        <v>-5</v>
      </c>
      <c r="F114">
        <f>K114/Performance!$C$36</f>
        <v>34.239363728645884</v>
      </c>
      <c r="G114">
        <f t="shared" si="10"/>
        <v>4</v>
      </c>
      <c r="H114" s="2">
        <f t="shared" si="45"/>
        <v>64510000000</v>
      </c>
      <c r="I114" s="2" t="b">
        <f t="shared" ref="I114:I123" si="48">IF(OR(G114=1,G114=3),C114*$C$36)</f>
        <v>0</v>
      </c>
      <c r="J114" s="2">
        <f t="shared" ref="J114:J123" si="49">IF(G114=4,0)+IF(G114=2,$C$34)+IF(G114=1,N114)+IF(G114=3,$C$34-N114)</f>
        <v>0</v>
      </c>
      <c r="K114" s="2">
        <f t="shared" ref="K114:K123" si="50">L114+M114</f>
        <v>5122135907928.2373</v>
      </c>
      <c r="L114" s="2">
        <f t="shared" si="14"/>
        <v>0</v>
      </c>
      <c r="M114">
        <f t="shared" ref="M114:M123" si="51">IF(G114=4,$L$9,IF(G114=2,$L$6,IF(G114=3,$L$9-$L$8,0)))</f>
        <v>5122135907928.2373</v>
      </c>
      <c r="N114" s="2">
        <f t="shared" ref="N114:N123" si="52">$C$35*LN(H114/(H114-I114))</f>
        <v>0</v>
      </c>
      <c r="O114" s="2">
        <f t="shared" ref="O114:O123" si="53">($C$35*H114/$C$36)*(1-((H114-I114)/H114)*(LN(H114/(H114-I114))+1))</f>
        <v>0</v>
      </c>
      <c r="P114" s="2"/>
    </row>
    <row r="115" spans="1:16">
      <c r="A115" t="str">
        <f t="shared" si="43"/>
        <v>Day 62</v>
      </c>
      <c r="B115" s="4">
        <f t="shared" si="46"/>
        <v>52154.5</v>
      </c>
      <c r="C115">
        <f t="shared" si="47"/>
        <v>118295.32213804778</v>
      </c>
      <c r="D115">
        <f t="shared" si="29"/>
        <v>30.999999999999996</v>
      </c>
      <c r="E115">
        <f t="shared" si="30"/>
        <v>-5</v>
      </c>
      <c r="F115">
        <f>K115/Performance!$C$36</f>
        <v>34.239363728645884</v>
      </c>
      <c r="G115">
        <f t="shared" si="10"/>
        <v>4</v>
      </c>
      <c r="H115" s="2">
        <f t="shared" si="45"/>
        <v>64510000000</v>
      </c>
      <c r="I115" s="2" t="b">
        <f t="shared" si="48"/>
        <v>0</v>
      </c>
      <c r="J115" s="2">
        <f t="shared" si="49"/>
        <v>0</v>
      </c>
      <c r="K115" s="2">
        <f t="shared" si="50"/>
        <v>5122135907928.2373</v>
      </c>
      <c r="L115" s="2">
        <f t="shared" si="14"/>
        <v>0</v>
      </c>
      <c r="M115">
        <f t="shared" si="51"/>
        <v>5122135907928.2373</v>
      </c>
      <c r="N115" s="2">
        <f t="shared" si="52"/>
        <v>0</v>
      </c>
      <c r="O115" s="2">
        <f t="shared" si="53"/>
        <v>0</v>
      </c>
    </row>
    <row r="116" spans="1:16">
      <c r="A116" t="str">
        <f t="shared" si="43"/>
        <v>Day 63</v>
      </c>
      <c r="B116" s="4">
        <f t="shared" si="46"/>
        <v>52155.5</v>
      </c>
      <c r="C116">
        <f t="shared" si="47"/>
        <v>204695.32213804778</v>
      </c>
      <c r="D116">
        <f t="shared" si="29"/>
        <v>30.999999999999996</v>
      </c>
      <c r="E116">
        <f t="shared" si="30"/>
        <v>-5</v>
      </c>
      <c r="F116">
        <f>K116/Performance!$C$36</f>
        <v>34.239363728645884</v>
      </c>
      <c r="G116">
        <f t="shared" si="10"/>
        <v>4</v>
      </c>
      <c r="H116" s="2">
        <f t="shared" si="45"/>
        <v>64510000000</v>
      </c>
      <c r="I116" s="2" t="b">
        <f t="shared" si="48"/>
        <v>0</v>
      </c>
      <c r="J116" s="2">
        <f t="shared" si="49"/>
        <v>0</v>
      </c>
      <c r="K116" s="2">
        <f t="shared" si="50"/>
        <v>5122135907928.2373</v>
      </c>
      <c r="L116" s="2">
        <f t="shared" si="14"/>
        <v>0</v>
      </c>
      <c r="M116">
        <f t="shared" si="51"/>
        <v>5122135907928.2373</v>
      </c>
      <c r="N116" s="2">
        <f t="shared" si="52"/>
        <v>0</v>
      </c>
      <c r="O116" s="2">
        <f t="shared" si="53"/>
        <v>0</v>
      </c>
    </row>
    <row r="117" spans="1:16">
      <c r="A117" t="str">
        <f t="shared" si="43"/>
        <v>Day 64</v>
      </c>
      <c r="B117" s="4">
        <f t="shared" si="46"/>
        <v>52156.5</v>
      </c>
      <c r="C117">
        <f t="shared" si="47"/>
        <v>291095.32213804778</v>
      </c>
      <c r="D117">
        <f t="shared" si="29"/>
        <v>30.999999999999996</v>
      </c>
      <c r="E117">
        <f t="shared" si="30"/>
        <v>-5</v>
      </c>
      <c r="F117">
        <f>K117/Performance!$C$36</f>
        <v>34.239363728645884</v>
      </c>
      <c r="G117">
        <f t="shared" si="10"/>
        <v>4</v>
      </c>
      <c r="H117" s="2">
        <f t="shared" si="45"/>
        <v>64510000000</v>
      </c>
      <c r="I117" s="2" t="b">
        <f t="shared" si="48"/>
        <v>0</v>
      </c>
      <c r="J117" s="2">
        <f t="shared" si="49"/>
        <v>0</v>
      </c>
      <c r="K117" s="2">
        <f t="shared" si="50"/>
        <v>5122135907928.2373</v>
      </c>
      <c r="L117" s="2">
        <f t="shared" si="14"/>
        <v>0</v>
      </c>
      <c r="M117">
        <f t="shared" si="51"/>
        <v>5122135907928.2373</v>
      </c>
      <c r="N117" s="2">
        <f t="shared" si="52"/>
        <v>0</v>
      </c>
      <c r="O117" s="2">
        <f t="shared" si="53"/>
        <v>0</v>
      </c>
    </row>
    <row r="118" spans="1:16">
      <c r="A118" t="str">
        <f t="shared" si="43"/>
        <v>Day 65</v>
      </c>
      <c r="B118" s="4">
        <f t="shared" si="46"/>
        <v>52157.5</v>
      </c>
      <c r="C118">
        <f t="shared" si="47"/>
        <v>377495.32213804778</v>
      </c>
      <c r="D118">
        <f t="shared" si="29"/>
        <v>30.999999999999996</v>
      </c>
      <c r="E118">
        <f t="shared" si="30"/>
        <v>-5</v>
      </c>
      <c r="F118">
        <f>K118/Performance!$C$36</f>
        <v>34.239363728645884</v>
      </c>
      <c r="G118">
        <f t="shared" si="10"/>
        <v>4</v>
      </c>
      <c r="H118" s="2">
        <f t="shared" si="45"/>
        <v>64510000000</v>
      </c>
      <c r="I118" s="2" t="b">
        <f t="shared" si="48"/>
        <v>0</v>
      </c>
      <c r="J118" s="2">
        <f t="shared" si="49"/>
        <v>0</v>
      </c>
      <c r="K118" s="2">
        <f t="shared" si="50"/>
        <v>5122135907928.2373</v>
      </c>
      <c r="L118" s="2">
        <f t="shared" si="14"/>
        <v>0</v>
      </c>
      <c r="M118">
        <f t="shared" si="51"/>
        <v>5122135907928.2373</v>
      </c>
      <c r="N118" s="2">
        <f t="shared" si="52"/>
        <v>0</v>
      </c>
      <c r="O118" s="2">
        <f t="shared" si="53"/>
        <v>0</v>
      </c>
    </row>
    <row r="119" spans="1:16">
      <c r="A119" t="str">
        <f t="shared" si="43"/>
        <v>Day 66</v>
      </c>
      <c r="B119" s="4">
        <f t="shared" si="46"/>
        <v>52158.5</v>
      </c>
      <c r="C119">
        <f t="shared" si="47"/>
        <v>463895.32213804778</v>
      </c>
      <c r="D119">
        <f t="shared" si="29"/>
        <v>30.999999999999996</v>
      </c>
      <c r="E119">
        <f t="shared" si="30"/>
        <v>-5</v>
      </c>
      <c r="F119">
        <f>K119/Performance!$C$36</f>
        <v>34.239363728645884</v>
      </c>
      <c r="G119">
        <f t="shared" si="10"/>
        <v>4</v>
      </c>
      <c r="H119" s="2">
        <f t="shared" si="45"/>
        <v>64510000000</v>
      </c>
      <c r="I119" s="2" t="b">
        <f t="shared" si="48"/>
        <v>0</v>
      </c>
      <c r="J119" s="2">
        <f t="shared" si="49"/>
        <v>0</v>
      </c>
      <c r="K119" s="2">
        <f t="shared" si="50"/>
        <v>5122135907928.2373</v>
      </c>
      <c r="L119" s="2">
        <f t="shared" si="14"/>
        <v>0</v>
      </c>
      <c r="M119">
        <f t="shared" si="51"/>
        <v>5122135907928.2373</v>
      </c>
      <c r="N119" s="2">
        <f t="shared" si="52"/>
        <v>0</v>
      </c>
      <c r="O119" s="2">
        <f t="shared" si="53"/>
        <v>0</v>
      </c>
    </row>
    <row r="120" spans="1:16">
      <c r="A120" t="str">
        <f t="shared" si="43"/>
        <v>Day 67</v>
      </c>
      <c r="B120" s="4">
        <f t="shared" si="46"/>
        <v>52159.5</v>
      </c>
      <c r="C120">
        <f t="shared" si="47"/>
        <v>550295.32213804778</v>
      </c>
      <c r="D120">
        <f t="shared" si="29"/>
        <v>30.999999999999996</v>
      </c>
      <c r="E120">
        <f t="shared" si="30"/>
        <v>-5</v>
      </c>
      <c r="F120">
        <f>K120/Performance!$C$36</f>
        <v>34.239363728645884</v>
      </c>
      <c r="G120">
        <f t="shared" si="10"/>
        <v>4</v>
      </c>
      <c r="H120" s="2">
        <f t="shared" si="45"/>
        <v>64510000000</v>
      </c>
      <c r="I120" s="2" t="b">
        <f t="shared" si="48"/>
        <v>0</v>
      </c>
      <c r="J120" s="2">
        <f t="shared" si="49"/>
        <v>0</v>
      </c>
      <c r="K120" s="2">
        <f t="shared" si="50"/>
        <v>5122135907928.2373</v>
      </c>
      <c r="L120" s="2">
        <f t="shared" si="14"/>
        <v>0</v>
      </c>
      <c r="M120">
        <f t="shared" si="51"/>
        <v>5122135907928.2373</v>
      </c>
      <c r="N120" s="2">
        <f t="shared" si="52"/>
        <v>0</v>
      </c>
      <c r="O120" s="2">
        <f t="shared" si="53"/>
        <v>0</v>
      </c>
    </row>
    <row r="121" spans="1:16">
      <c r="A121" t="str">
        <f t="shared" si="43"/>
        <v>Day 68</v>
      </c>
      <c r="B121" s="4">
        <f t="shared" si="46"/>
        <v>52160.5</v>
      </c>
      <c r="C121">
        <f t="shared" si="47"/>
        <v>636695.32213804778</v>
      </c>
      <c r="D121">
        <f t="shared" si="29"/>
        <v>30.999999999999996</v>
      </c>
      <c r="E121">
        <f t="shared" si="30"/>
        <v>-5</v>
      </c>
      <c r="F121">
        <f>K121/Performance!$C$36</f>
        <v>34.239363728645884</v>
      </c>
      <c r="G121">
        <f t="shared" si="10"/>
        <v>4</v>
      </c>
      <c r="H121" s="2">
        <f t="shared" si="45"/>
        <v>64510000000</v>
      </c>
      <c r="I121" s="2" t="b">
        <f t="shared" si="48"/>
        <v>0</v>
      </c>
      <c r="J121" s="2">
        <f t="shared" si="49"/>
        <v>0</v>
      </c>
      <c r="K121" s="2">
        <f t="shared" si="50"/>
        <v>5122135907928.2373</v>
      </c>
      <c r="L121" s="2">
        <f t="shared" si="14"/>
        <v>0</v>
      </c>
      <c r="M121">
        <f t="shared" si="51"/>
        <v>5122135907928.2373</v>
      </c>
      <c r="N121" s="2">
        <f t="shared" si="52"/>
        <v>0</v>
      </c>
      <c r="O121" s="2">
        <f t="shared" si="53"/>
        <v>0</v>
      </c>
    </row>
    <row r="122" spans="1:16">
      <c r="A122" t="str">
        <f t="shared" si="43"/>
        <v>Day 69</v>
      </c>
      <c r="B122" s="4">
        <f t="shared" si="46"/>
        <v>52161.5</v>
      </c>
      <c r="C122">
        <f t="shared" si="47"/>
        <v>723095.32213804778</v>
      </c>
      <c r="D122">
        <f t="shared" si="29"/>
        <v>30.999999999999996</v>
      </c>
      <c r="E122">
        <f t="shared" si="30"/>
        <v>-5</v>
      </c>
      <c r="F122">
        <f>K122/Performance!$C$36</f>
        <v>34.239363728645884</v>
      </c>
      <c r="G122">
        <f t="shared" si="10"/>
        <v>4</v>
      </c>
      <c r="H122" s="2">
        <f t="shared" si="45"/>
        <v>64510000000</v>
      </c>
      <c r="I122" s="2" t="b">
        <f t="shared" si="48"/>
        <v>0</v>
      </c>
      <c r="J122" s="2">
        <f t="shared" si="49"/>
        <v>0</v>
      </c>
      <c r="K122" s="2">
        <f t="shared" si="50"/>
        <v>5122135907928.2373</v>
      </c>
      <c r="L122" s="2">
        <f t="shared" si="14"/>
        <v>0</v>
      </c>
      <c r="M122">
        <f t="shared" si="51"/>
        <v>5122135907928.2373</v>
      </c>
      <c r="N122" s="2">
        <f t="shared" si="52"/>
        <v>0</v>
      </c>
      <c r="O122" s="2">
        <f t="shared" si="53"/>
        <v>0</v>
      </c>
    </row>
    <row r="123" spans="1:16">
      <c r="A123" t="str">
        <f t="shared" si="43"/>
        <v>Day 70</v>
      </c>
      <c r="B123" s="4">
        <f t="shared" si="46"/>
        <v>52162.5</v>
      </c>
      <c r="C123">
        <f t="shared" si="47"/>
        <v>809495.32213804778</v>
      </c>
      <c r="D123">
        <f t="shared" si="29"/>
        <v>30.999999999999996</v>
      </c>
      <c r="E123">
        <f t="shared" si="30"/>
        <v>-5</v>
      </c>
      <c r="F123">
        <f>K123/Performance!$C$36</f>
        <v>34.239363728645884</v>
      </c>
      <c r="G123">
        <f t="shared" si="10"/>
        <v>4</v>
      </c>
      <c r="H123" s="2">
        <f t="shared" si="45"/>
        <v>64510000000</v>
      </c>
      <c r="I123" s="2" t="b">
        <f t="shared" si="48"/>
        <v>0</v>
      </c>
      <c r="J123" s="2">
        <f t="shared" si="49"/>
        <v>0</v>
      </c>
      <c r="K123" s="2">
        <f t="shared" si="50"/>
        <v>5122135907928.2373</v>
      </c>
      <c r="L123" s="2">
        <f t="shared" si="14"/>
        <v>0</v>
      </c>
      <c r="M123">
        <f t="shared" si="51"/>
        <v>5122135907928.2373</v>
      </c>
      <c r="N123" s="2">
        <f t="shared" si="52"/>
        <v>0</v>
      </c>
      <c r="O123" s="2">
        <f t="shared" si="53"/>
        <v>0</v>
      </c>
    </row>
    <row r="124" spans="1:16">
      <c r="B124" s="4"/>
    </row>
    <row r="125" spans="1:16">
      <c r="B125" s="4"/>
    </row>
    <row r="126" spans="1:16">
      <c r="B126" s="4"/>
    </row>
    <row r="127" spans="1:16">
      <c r="B127" s="4"/>
    </row>
    <row r="128" spans="1:16">
      <c r="B128" s="4"/>
    </row>
    <row r="129" spans="2:2">
      <c r="B129" s="4"/>
    </row>
    <row r="130" spans="2:2">
      <c r="B130" s="4"/>
    </row>
    <row r="131" spans="2:2">
      <c r="B131" s="4"/>
    </row>
    <row r="132" spans="2:2">
      <c r="B132" s="4"/>
    </row>
    <row r="133" spans="2:2">
      <c r="B133" s="4"/>
    </row>
    <row r="134" spans="2:2">
      <c r="B134" s="4"/>
    </row>
    <row r="135" spans="2:2">
      <c r="B135" s="4"/>
    </row>
    <row r="136" spans="2:2">
      <c r="B136" s="4"/>
    </row>
    <row r="137" spans="2:2">
      <c r="B137" s="4"/>
    </row>
    <row r="138" spans="2:2">
      <c r="B138" s="4"/>
    </row>
    <row r="139" spans="2:2">
      <c r="B139" s="4"/>
    </row>
    <row r="140" spans="2:2">
      <c r="B140" s="4"/>
    </row>
    <row r="141" spans="2:2">
      <c r="B141" s="4"/>
    </row>
    <row r="142" spans="2:2">
      <c r="B142" s="4"/>
    </row>
    <row r="143" spans="2:2">
      <c r="B143" s="4"/>
    </row>
    <row r="144" spans="2:2">
      <c r="B144" s="4"/>
    </row>
    <row r="145" spans="2:2">
      <c r="B145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89BDF-6291-5849-901A-C3C589C4A8B9}">
  <dimension ref="A1:I57"/>
  <sheetViews>
    <sheetView tabSelected="1" zoomScale="115" workbookViewId="0">
      <selection activeCell="B27" sqref="B27"/>
    </sheetView>
  </sheetViews>
  <sheetFormatPr baseColWidth="10" defaultRowHeight="16"/>
  <cols>
    <col min="1" max="1" width="20.1640625" bestFit="1" customWidth="1"/>
  </cols>
  <sheetData>
    <row r="1" spans="1:9">
      <c r="A1" t="s">
        <v>623</v>
      </c>
    </row>
    <row r="2" spans="1:9">
      <c r="B2" s="49">
        <f>3220/(390*55*30)</f>
        <v>5.0038850038850039E-3</v>
      </c>
      <c r="C2" t="s">
        <v>327</v>
      </c>
    </row>
    <row r="3" spans="1:9">
      <c r="A3" t="s">
        <v>174</v>
      </c>
      <c r="B3" s="49">
        <f>B2*1016.04691/0.0283168466</f>
        <v>179.54618916474604</v>
      </c>
    </row>
    <row r="4" spans="1:9">
      <c r="A4" t="s">
        <v>275</v>
      </c>
      <c r="B4" s="49">
        <v>310</v>
      </c>
      <c r="E4" t="s">
        <v>289</v>
      </c>
      <c r="F4" s="55" t="s">
        <v>287</v>
      </c>
    </row>
    <row r="5" spans="1:9">
      <c r="A5" t="s">
        <v>292</v>
      </c>
      <c r="B5" s="49">
        <v>2000</v>
      </c>
      <c r="C5" t="s">
        <v>282</v>
      </c>
      <c r="F5" t="s">
        <v>293</v>
      </c>
    </row>
    <row r="6" spans="1:9">
      <c r="B6" s="49"/>
    </row>
    <row r="7" spans="1:9">
      <c r="A7" t="s">
        <v>316</v>
      </c>
      <c r="B7" s="57">
        <f>Habitat!E41</f>
        <v>136</v>
      </c>
      <c r="C7">
        <f>Vehicle!B6/B7</f>
        <v>2.5735294117647061</v>
      </c>
      <c r="D7">
        <f>B7*2</f>
        <v>272</v>
      </c>
      <c r="E7" s="56"/>
    </row>
    <row r="8" spans="1:9">
      <c r="A8" t="s">
        <v>310</v>
      </c>
      <c r="B8" s="41">
        <f>Habitat!C19</f>
        <v>1831077.2781448106</v>
      </c>
      <c r="C8" s="3">
        <f>B8*Conversion!F19</f>
        <v>452.47750620236411</v>
      </c>
      <c r="E8" s="8"/>
      <c r="G8" s="3"/>
      <c r="I8" s="3"/>
    </row>
    <row r="9" spans="1:9">
      <c r="A9" t="s">
        <v>314</v>
      </c>
      <c r="B9" s="46">
        <f>Habitat!E39</f>
        <v>46</v>
      </c>
      <c r="E9" s="8"/>
      <c r="G9" s="3"/>
      <c r="I9" s="3"/>
    </row>
    <row r="10" spans="1:9">
      <c r="A10" t="s">
        <v>309</v>
      </c>
      <c r="B10" s="41">
        <f>Habitat!E48</f>
        <v>232427.59088318728</v>
      </c>
      <c r="E10" s="8"/>
      <c r="G10" s="3"/>
    </row>
    <row r="11" spans="1:9">
      <c r="A11" t="s">
        <v>311</v>
      </c>
      <c r="B11" s="41">
        <f>Habitat!E49</f>
        <v>10536717.453371154</v>
      </c>
      <c r="E11" s="5"/>
      <c r="I11" s="48"/>
    </row>
    <row r="12" spans="1:9">
      <c r="A12" t="s">
        <v>312</v>
      </c>
      <c r="B12" s="41">
        <f>Habitat!E51</f>
        <v>464855181.76637459</v>
      </c>
      <c r="E12" s="5"/>
      <c r="G12" s="48"/>
    </row>
    <row r="13" spans="1:9">
      <c r="A13" t="s">
        <v>334</v>
      </c>
      <c r="B13" s="41">
        <f>B11*Structure!B3</f>
        <v>1891827465.0584583</v>
      </c>
      <c r="E13" s="5"/>
      <c r="G13" s="48"/>
    </row>
    <row r="14" spans="1:9">
      <c r="A14" t="s">
        <v>844</v>
      </c>
      <c r="B14" s="129">
        <f>Vehicle!B2</f>
        <v>3</v>
      </c>
      <c r="E14" s="5"/>
      <c r="G14" s="48"/>
    </row>
    <row r="15" spans="1:9">
      <c r="A15" t="s">
        <v>315</v>
      </c>
      <c r="B15" s="41">
        <f>B8*B14</f>
        <v>5493231.834434432</v>
      </c>
      <c r="E15" s="5"/>
      <c r="G15" s="48"/>
    </row>
    <row r="17" spans="1:6">
      <c r="A17" t="s">
        <v>248</v>
      </c>
      <c r="B17" s="39">
        <f>Agriculture!C47</f>
        <v>2278791.861180915</v>
      </c>
    </row>
    <row r="18" spans="1:6">
      <c r="A18" t="s">
        <v>18</v>
      </c>
      <c r="B18" s="39">
        <f>Agriculture!C47*Conversion!B11</f>
        <v>3873946164.0075555</v>
      </c>
      <c r="C18" t="s">
        <v>34</v>
      </c>
      <c r="D18">
        <f>B18/(1046000*1016.4)</f>
        <v>3.6438227260382456</v>
      </c>
    </row>
    <row r="20" spans="1:6">
      <c r="A20" t="s">
        <v>19</v>
      </c>
      <c r="B20" s="39">
        <f>Performance!C22</f>
        <v>9757.959593006688</v>
      </c>
      <c r="C20" t="s">
        <v>34</v>
      </c>
      <c r="E20" t="s">
        <v>41</v>
      </c>
      <c r="F20" t="s">
        <v>40</v>
      </c>
    </row>
    <row r="21" spans="1:6">
      <c r="A21" t="s">
        <v>125</v>
      </c>
      <c r="B21" s="39">
        <f>'Power Consumption'!C43</f>
        <v>1309981.2796746388</v>
      </c>
      <c r="C21" t="s">
        <v>34</v>
      </c>
      <c r="D21" s="2">
        <f>B21/B20</f>
        <v>134.24745892711763</v>
      </c>
      <c r="E21" s="69">
        <f>B21/12</f>
        <v>109165.10663955323</v>
      </c>
    </row>
    <row r="22" spans="1:6">
      <c r="A22" t="s">
        <v>285</v>
      </c>
      <c r="B22" s="39">
        <f>Structure!B18</f>
        <v>3873946164.0075555</v>
      </c>
    </row>
    <row r="23" spans="1:6">
      <c r="A23" t="s">
        <v>294</v>
      </c>
      <c r="B23" s="39">
        <f>Structure!B11*Vehicle!B2*Conversion!B10*0.9</f>
        <v>34850192.977025092</v>
      </c>
      <c r="C23" t="s">
        <v>34</v>
      </c>
      <c r="E23" t="s">
        <v>295</v>
      </c>
    </row>
    <row r="24" spans="1:6">
      <c r="A24" t="s">
        <v>291</v>
      </c>
      <c r="B24" s="39">
        <f>Structure!B12/1000*Vehicle!B2</f>
        <v>1394565.5452991237</v>
      </c>
    </row>
    <row r="25" spans="1:6">
      <c r="A25" t="s">
        <v>335</v>
      </c>
      <c r="B25" s="39"/>
      <c r="C25" s="2"/>
      <c r="D25" s="2"/>
      <c r="E25" s="2"/>
    </row>
    <row r="26" spans="1:6">
      <c r="A26" t="s">
        <v>205</v>
      </c>
      <c r="B26" s="39">
        <f>(B42+B43)*$B$3</f>
        <v>44954295032.468391</v>
      </c>
      <c r="C26" s="37">
        <f>B26/Vehicle!D12</f>
        <v>0.87308562598229711</v>
      </c>
      <c r="D26" s="37"/>
    </row>
    <row r="27" spans="1:6">
      <c r="A27" t="s">
        <v>532</v>
      </c>
      <c r="B27" s="39">
        <f>Habitat!E65*2</f>
        <v>366938021.93928754</v>
      </c>
      <c r="C27" s="37"/>
      <c r="D27" s="37"/>
    </row>
    <row r="28" spans="1:6">
      <c r="A28" t="s">
        <v>822</v>
      </c>
      <c r="B28" s="39">
        <f>PI()*(200^2)*50*Structure!B3*2</f>
        <v>2256243955.4400377</v>
      </c>
      <c r="C28" s="37"/>
      <c r="D28" s="37"/>
    </row>
    <row r="29" spans="1:6">
      <c r="A29" t="s">
        <v>786</v>
      </c>
      <c r="B29" s="122"/>
      <c r="C29" s="37"/>
      <c r="D29" s="37"/>
    </row>
    <row r="30" spans="1:6">
      <c r="A30" t="s">
        <v>785</v>
      </c>
      <c r="B30" s="51"/>
      <c r="C30" s="37"/>
      <c r="D30" s="37"/>
      <c r="E30" s="2" t="s">
        <v>820</v>
      </c>
    </row>
    <row r="31" spans="1:6">
      <c r="A31" t="s">
        <v>819</v>
      </c>
      <c r="B31" s="2"/>
      <c r="C31" s="37"/>
      <c r="D31" s="37"/>
      <c r="E31" s="2"/>
    </row>
    <row r="32" spans="1:6">
      <c r="A32" t="s">
        <v>787</v>
      </c>
      <c r="B32" s="2"/>
      <c r="C32" s="37"/>
      <c r="D32" s="37"/>
    </row>
    <row r="34" spans="1:5">
      <c r="A34" t="s">
        <v>730</v>
      </c>
      <c r="B34" s="2">
        <f>Vehicle!B9</f>
        <v>8100000000</v>
      </c>
      <c r="C34" s="134">
        <f>B52/B35</f>
        <v>227080.06990522044</v>
      </c>
    </row>
    <row r="35" spans="1:5">
      <c r="A35" t="s">
        <v>847</v>
      </c>
      <c r="B35">
        <v>916.7</v>
      </c>
      <c r="C35" t="s">
        <v>174</v>
      </c>
    </row>
    <row r="36" spans="1:5">
      <c r="A36" t="s">
        <v>786</v>
      </c>
    </row>
    <row r="37" spans="1:5">
      <c r="A37" t="s">
        <v>846</v>
      </c>
      <c r="B37" s="2">
        <f>B34/B35</f>
        <v>8836042.3257336095</v>
      </c>
    </row>
    <row r="38" spans="1:5">
      <c r="A38" t="s">
        <v>845</v>
      </c>
    </row>
    <row r="39" spans="1:5">
      <c r="A39" t="s">
        <v>840</v>
      </c>
      <c r="B39">
        <v>150</v>
      </c>
    </row>
    <row r="40" spans="1:5">
      <c r="A40" t="s">
        <v>841</v>
      </c>
      <c r="B40">
        <v>800</v>
      </c>
    </row>
    <row r="41" spans="1:5">
      <c r="A41" t="s">
        <v>842</v>
      </c>
      <c r="B41">
        <v>175</v>
      </c>
    </row>
    <row r="42" spans="1:5">
      <c r="A42" t="s">
        <v>843</v>
      </c>
      <c r="B42" s="2">
        <f>(PI()/6*B40*2*B40*2*B41*2)*0.5</f>
        <v>234572251.46803787</v>
      </c>
    </row>
    <row r="43" spans="1:5">
      <c r="A43" t="s">
        <v>311</v>
      </c>
      <c r="B43" s="2">
        <f>(B11*B14)*0.5</f>
        <v>15805076.180056732</v>
      </c>
    </row>
    <row r="44" spans="1:5">
      <c r="A44" t="s">
        <v>957</v>
      </c>
      <c r="B44" s="2">
        <f>PI()*B39^2*D44</f>
        <v>10602875.205865553</v>
      </c>
      <c r="D44">
        <v>150</v>
      </c>
      <c r="E44" t="s">
        <v>2</v>
      </c>
    </row>
    <row r="45" spans="1:5">
      <c r="A45" t="s">
        <v>958</v>
      </c>
      <c r="B45" s="2">
        <f>PI()*B40^2*D45</f>
        <v>140743350.88082275</v>
      </c>
      <c r="D45">
        <v>70</v>
      </c>
      <c r="E45" t="s">
        <v>2</v>
      </c>
    </row>
    <row r="47" spans="1:5">
      <c r="A47" t="s">
        <v>952</v>
      </c>
      <c r="B47" s="2">
        <f>Vehicle!B15</f>
        <v>1000000000</v>
      </c>
    </row>
    <row r="48" spans="1:5">
      <c r="A48" t="s">
        <v>849</v>
      </c>
      <c r="B48">
        <v>90</v>
      </c>
    </row>
    <row r="49" spans="1:5">
      <c r="A49" t="s">
        <v>850</v>
      </c>
      <c r="B49">
        <f>PI()*B48^2</f>
        <v>25446.900494077323</v>
      </c>
    </row>
    <row r="50" spans="1:5">
      <c r="A50" t="s">
        <v>851</v>
      </c>
      <c r="B50" s="3">
        <f>B57/B49</f>
        <v>17.862507642188028</v>
      </c>
    </row>
    <row r="52" spans="1:5">
      <c r="A52" t="s">
        <v>953</v>
      </c>
      <c r="B52" s="2">
        <f>B42-B43-B44</f>
        <v>208164300.08211559</v>
      </c>
      <c r="C52" s="2">
        <f>SUM(B53:B57)</f>
        <v>29973052.473870628</v>
      </c>
      <c r="E52" s="133">
        <f>B52/B37</f>
        <v>23.55854492410807</v>
      </c>
    </row>
    <row r="53" spans="1:5">
      <c r="A53" t="s">
        <v>944</v>
      </c>
      <c r="B53" s="2">
        <f>Vehicle!B18/(B35*20/18)</f>
        <v>4908912.4031853387</v>
      </c>
    </row>
    <row r="54" spans="1:5">
      <c r="A54" t="s">
        <v>954</v>
      </c>
      <c r="B54" s="2">
        <f>Vehicle!B19/'Isotope Plant'!C40</f>
        <v>6410256.41025641</v>
      </c>
    </row>
    <row r="55" spans="1:5">
      <c r="A55" t="s">
        <v>955</v>
      </c>
      <c r="B55" s="2">
        <f>Vehicle!B20/'Isotope Plant'!C35</f>
        <v>9363295.8801498134</v>
      </c>
    </row>
    <row r="56" spans="1:5">
      <c r="A56" t="s">
        <v>956</v>
      </c>
      <c r="B56" s="2">
        <f>B34/B35</f>
        <v>8836042.3257336095</v>
      </c>
    </row>
    <row r="57" spans="1:5">
      <c r="A57" t="s">
        <v>848</v>
      </c>
      <c r="B57" s="2">
        <f>B47/2200</f>
        <v>454545.45454545453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83514-39E3-3B40-8427-EAE05288B8F8}">
  <dimension ref="A1:P74"/>
  <sheetViews>
    <sheetView topLeftCell="A12" workbookViewId="0">
      <selection activeCell="E41" sqref="E41"/>
    </sheetView>
  </sheetViews>
  <sheetFormatPr baseColWidth="10" defaultRowHeight="16"/>
  <cols>
    <col min="5" max="5" width="14.83203125" customWidth="1"/>
    <col min="6" max="9" width="14.1640625" customWidth="1"/>
  </cols>
  <sheetData>
    <row r="1" spans="1:16">
      <c r="A1" t="s">
        <v>317</v>
      </c>
      <c r="E1" s="3">
        <f>Vehicle!B6</f>
        <v>350</v>
      </c>
      <c r="H1" t="s">
        <v>637</v>
      </c>
      <c r="I1" s="10">
        <v>1500</v>
      </c>
      <c r="J1">
        <v>200</v>
      </c>
    </row>
    <row r="2" spans="1:16">
      <c r="A2" t="s">
        <v>307</v>
      </c>
      <c r="E2">
        <f>Structure!B5</f>
        <v>2000</v>
      </c>
      <c r="F2" t="s">
        <v>282</v>
      </c>
      <c r="H2" t="s">
        <v>638</v>
      </c>
      <c r="I2" s="10">
        <v>500</v>
      </c>
      <c r="J2">
        <v>500</v>
      </c>
    </row>
    <row r="3" spans="1:16">
      <c r="A3" t="s">
        <v>6</v>
      </c>
      <c r="E3" s="37">
        <v>9.8000000000000007</v>
      </c>
    </row>
    <row r="4" spans="1:16">
      <c r="A4" t="s">
        <v>319</v>
      </c>
      <c r="E4" s="37">
        <f>SQRT(E3*1/E1)</f>
        <v>0.16733200530681511</v>
      </c>
      <c r="F4">
        <f>E3/E1</f>
        <v>2.8000000000000001E-2</v>
      </c>
      <c r="H4" t="s">
        <v>629</v>
      </c>
      <c r="I4" s="10" t="s">
        <v>630</v>
      </c>
      <c r="J4" t="s">
        <v>631</v>
      </c>
      <c r="K4" t="s">
        <v>639</v>
      </c>
      <c r="L4" t="s">
        <v>23</v>
      </c>
      <c r="M4" t="s">
        <v>640</v>
      </c>
    </row>
    <row r="5" spans="1:16">
      <c r="A5" t="s">
        <v>318</v>
      </c>
      <c r="E5" s="37">
        <f>E4*30/PI()</f>
        <v>1.5979029469235333</v>
      </c>
      <c r="H5" t="s">
        <v>115</v>
      </c>
      <c r="I5" s="10">
        <f>Cattle!D11</f>
        <v>25000</v>
      </c>
    </row>
    <row r="6" spans="1:16">
      <c r="A6" t="s">
        <v>330</v>
      </c>
      <c r="E6" s="37">
        <f>Structure!B3</f>
        <v>179.54618916474604</v>
      </c>
      <c r="H6" t="s">
        <v>116</v>
      </c>
      <c r="I6" s="10">
        <f>Agriculture!C45</f>
        <v>2516813.9048173781</v>
      </c>
      <c r="N6" t="s">
        <v>731</v>
      </c>
    </row>
    <row r="7" spans="1:16">
      <c r="A7" t="s">
        <v>333</v>
      </c>
      <c r="E7" s="37">
        <f>2*E1*PI()/6</f>
        <v>366.51914291880917</v>
      </c>
      <c r="H7" t="s">
        <v>553</v>
      </c>
      <c r="I7" s="10">
        <f>I5+I6</f>
        <v>2541813.9048173781</v>
      </c>
      <c r="J7">
        <f>Habitat!C22*Vehicle!$B$2</f>
        <v>2937722.6111666351</v>
      </c>
      <c r="K7" s="34">
        <f>J7/I7</f>
        <v>1.1557583368313904</v>
      </c>
      <c r="L7" s="3">
        <f>J7*Conversion!$F$19</f>
        <v>725.9406344453871</v>
      </c>
      <c r="M7" s="37">
        <f>L7/Vehicle!$B$1</f>
        <v>0.36297031722269357</v>
      </c>
      <c r="O7">
        <v>14956840</v>
      </c>
      <c r="P7">
        <f>O7/I7</f>
        <v>5.8843174835313548</v>
      </c>
    </row>
    <row r="8" spans="1:16">
      <c r="A8" t="s">
        <v>707</v>
      </c>
      <c r="E8" s="37">
        <f>E1/8</f>
        <v>43.75</v>
      </c>
      <c r="H8" t="s">
        <v>117</v>
      </c>
      <c r="I8" s="10">
        <f>Habitat!I1*Habitat!J1+Habitat!I2*Habitat!J2</f>
        <v>550000</v>
      </c>
      <c r="J8">
        <f>Habitat!C21*Vehicle!$B$2</f>
        <v>585672.66708253871</v>
      </c>
      <c r="K8" s="34">
        <f>J8/I8</f>
        <v>1.0648593946955249</v>
      </c>
      <c r="L8" s="3">
        <f>J8*Conversion!$F$19</f>
        <v>144.72557276276612</v>
      </c>
      <c r="M8" s="37">
        <f>L8/Vehicle!$B$1</f>
        <v>7.2362786381383062E-2</v>
      </c>
    </row>
    <row r="9" spans="1:16">
      <c r="A9" t="s">
        <v>331</v>
      </c>
      <c r="E9">
        <f>$F$4*($E$1-E42)/9.8</f>
        <v>0.22285714285714286</v>
      </c>
      <c r="H9" t="s">
        <v>628</v>
      </c>
      <c r="I9" s="10">
        <f>Vehicle!B1*40*Conversion!E16/1000</f>
        <v>323748.51360000001</v>
      </c>
      <c r="J9">
        <f>Habitat!C20*Vehicle!$B$2</f>
        <v>328257.9477901269</v>
      </c>
      <c r="K9" s="34">
        <f>J9/I9</f>
        <v>1.0139288182051653</v>
      </c>
      <c r="L9" s="3">
        <f>J9*Conversion!$F$19</f>
        <v>81.115821478418255</v>
      </c>
      <c r="M9" s="37">
        <f>L9/Vehicle!$B$1</f>
        <v>4.0557910739209127E-2</v>
      </c>
    </row>
    <row r="10" spans="1:16">
      <c r="H10" t="s">
        <v>836</v>
      </c>
      <c r="I10" s="10">
        <f>(Agriculture!E40)/1000/2</f>
        <v>7646.9219364075534</v>
      </c>
      <c r="J10">
        <f>Habitat!C23*Vehicle!$B$2</f>
        <v>350395.80874217802</v>
      </c>
      <c r="K10" s="34">
        <f>J10/I10</f>
        <v>45.821810612962842</v>
      </c>
      <c r="L10" s="3">
        <f>J10*Conversion!$F$19</f>
        <v>86.586308298279604</v>
      </c>
      <c r="M10" s="37">
        <f>L10/Vehicle!$B$1</f>
        <v>4.3293154149139805E-2</v>
      </c>
    </row>
    <row r="11" spans="1:16">
      <c r="A11" t="s">
        <v>528</v>
      </c>
      <c r="C11" s="3">
        <f>Habitat!E42</f>
        <v>272</v>
      </c>
      <c r="D11" s="3">
        <f>Habitat!E41</f>
        <v>136</v>
      </c>
      <c r="E11">
        <f>D11*D11</f>
        <v>18496</v>
      </c>
      <c r="F11">
        <f>D11*2</f>
        <v>272</v>
      </c>
      <c r="H11" t="s">
        <v>643</v>
      </c>
      <c r="I11" s="10">
        <f>Vehicle!B1*250</f>
        <v>500000</v>
      </c>
      <c r="J11">
        <f>Habitat!C24*Vehicle!$B$2</f>
        <v>580683.18963010737</v>
      </c>
      <c r="K11" s="34">
        <f>J11/I11</f>
        <v>1.1613663792602147</v>
      </c>
      <c r="L11" s="3">
        <f>J11*Conversion!$F$19</f>
        <v>143.49262298949583</v>
      </c>
      <c r="M11" s="37">
        <f>L11/Vehicle!$B$1</f>
        <v>7.1746311494747916E-2</v>
      </c>
    </row>
    <row r="12" spans="1:16">
      <c r="A12" t="s">
        <v>548</v>
      </c>
      <c r="C12" s="3">
        <v>0.9</v>
      </c>
      <c r="D12" s="3">
        <f>C11*C12</f>
        <v>244.8</v>
      </c>
      <c r="I12" s="10"/>
    </row>
    <row r="13" spans="1:16">
      <c r="A13" t="s">
        <v>319</v>
      </c>
      <c r="C13" s="3">
        <f>Habitat!E4</f>
        <v>0.16733200530681511</v>
      </c>
      <c r="D13" s="3">
        <f>C13*C13</f>
        <v>2.8000000000000001E-2</v>
      </c>
      <c r="H13" t="s">
        <v>119</v>
      </c>
      <c r="I13" s="39">
        <f>SUM(I7:I10)</f>
        <v>3423209.340353786</v>
      </c>
      <c r="J13" s="58">
        <f>Structure!B15</f>
        <v>5493231.834434432</v>
      </c>
      <c r="K13" s="34">
        <f>J13/I13</f>
        <v>1.6047022803071431</v>
      </c>
      <c r="L13" t="s">
        <v>178</v>
      </c>
      <c r="M13">
        <f>I17/Vehicle!B1</f>
        <v>0.67870357437025552</v>
      </c>
    </row>
    <row r="14" spans="1:16">
      <c r="A14" t="s">
        <v>529</v>
      </c>
      <c r="C14" s="3">
        <f>Habitat!E1</f>
        <v>350</v>
      </c>
      <c r="H14" t="s">
        <v>12</v>
      </c>
      <c r="I14" s="77">
        <f>Structure!B15</f>
        <v>5493231.834434432</v>
      </c>
      <c r="J14" t="s">
        <v>14</v>
      </c>
      <c r="L14">
        <f>19000*6000</f>
        <v>114000000</v>
      </c>
      <c r="M14" s="13">
        <f>L14/I14</f>
        <v>20.752810628779358</v>
      </c>
    </row>
    <row r="15" spans="1:16">
      <c r="A15" t="s">
        <v>646</v>
      </c>
      <c r="C15" s="3">
        <f>Vehicle!B2</f>
        <v>3</v>
      </c>
      <c r="I15" s="78">
        <f>I14/1000000</f>
        <v>5.4932318344344324</v>
      </c>
      <c r="J15" t="s">
        <v>21</v>
      </c>
    </row>
    <row r="16" spans="1:16">
      <c r="A16" t="s">
        <v>530</v>
      </c>
      <c r="C16" s="3">
        <v>5</v>
      </c>
      <c r="D16">
        <f>C16*3.2808399</f>
        <v>16.404199500000001</v>
      </c>
      <c r="E16" t="s">
        <v>531</v>
      </c>
      <c r="F16" s="48"/>
      <c r="I16" s="79">
        <f>I14/5400</f>
        <v>1017.2651545248948</v>
      </c>
      <c r="J16" t="s">
        <v>22</v>
      </c>
      <c r="O16">
        <f>750/0.26</f>
        <v>2884.6153846153843</v>
      </c>
    </row>
    <row r="17" spans="1:15">
      <c r="A17" t="s">
        <v>527</v>
      </c>
      <c r="C17" s="48">
        <v>5</v>
      </c>
      <c r="D17">
        <f>C17*3.2808399</f>
        <v>16.404199500000001</v>
      </c>
      <c r="I17" s="79">
        <f>I14/4046.85642</f>
        <v>1357.407148740511</v>
      </c>
      <c r="J17" t="s">
        <v>23</v>
      </c>
      <c r="N17">
        <v>109.72799999999999</v>
      </c>
      <c r="O17">
        <f>N17/O16</f>
        <v>3.8039040000000003E-2</v>
      </c>
    </row>
    <row r="18" spans="1:15">
      <c r="A18" t="s">
        <v>547</v>
      </c>
      <c r="C18">
        <f>SUM(Gravity!L:L)</f>
        <v>46</v>
      </c>
      <c r="I18" s="10">
        <f>I14/2590000</f>
        <v>2.1209389322140666</v>
      </c>
      <c r="J18" t="s">
        <v>24</v>
      </c>
    </row>
    <row r="19" spans="1:15">
      <c r="A19" t="s">
        <v>298</v>
      </c>
      <c r="C19" s="2">
        <f>SUM(Gravity!M:M)</f>
        <v>1831077.2781448106</v>
      </c>
      <c r="D19" s="3">
        <f>C19*Conversion!F19</f>
        <v>452.47750620236411</v>
      </c>
      <c r="H19" t="s">
        <v>227</v>
      </c>
      <c r="I19" s="79">
        <f>Vehicle!B1/(180)</f>
        <v>11.111111111111111</v>
      </c>
      <c r="J19" t="s">
        <v>24</v>
      </c>
      <c r="L19" s="3">
        <f>I7/Vehicle!B1</f>
        <v>1270.906952408689</v>
      </c>
    </row>
    <row r="20" spans="1:15">
      <c r="A20" t="s">
        <v>551</v>
      </c>
      <c r="C20" s="4">
        <f>SUM(Gravity!P:P)</f>
        <v>109419.3159300423</v>
      </c>
      <c r="D20">
        <f>Habitat!I9/$C$15</f>
        <v>107916.1712</v>
      </c>
      <c r="E20" s="34">
        <f>C20/D20</f>
        <v>1.0139288182051653</v>
      </c>
    </row>
    <row r="21" spans="1:15">
      <c r="A21" t="s">
        <v>552</v>
      </c>
      <c r="C21" s="4">
        <f>SUM(Gravity!O:O)</f>
        <v>195224.22236084624</v>
      </c>
      <c r="D21">
        <f>Habitat!I8/$C$15</f>
        <v>183333.33333333334</v>
      </c>
      <c r="E21" s="34">
        <f>C21/D21</f>
        <v>1.0648593946955249</v>
      </c>
    </row>
    <row r="22" spans="1:15">
      <c r="A22" t="s">
        <v>553</v>
      </c>
      <c r="C22" s="4">
        <f>SUM(Gravity!N:N)</f>
        <v>979240.87038887839</v>
      </c>
      <c r="D22">
        <f>Habitat!I7/$C$15</f>
        <v>847271.30160579272</v>
      </c>
      <c r="E22" s="34">
        <f>C22/D22</f>
        <v>1.1557583368313904</v>
      </c>
      <c r="I22" t="s">
        <v>664</v>
      </c>
      <c r="M22" s="48"/>
    </row>
    <row r="23" spans="1:15" ht="17" thickBot="1">
      <c r="A23" t="s">
        <v>632</v>
      </c>
      <c r="C23" s="4">
        <f>SUM(Gravity!Q:Q)</f>
        <v>116798.60291405935</v>
      </c>
      <c r="D23">
        <f>Habitat!I10/$C$15</f>
        <v>2548.9739788025176</v>
      </c>
      <c r="E23" s="34">
        <f>C23/D23</f>
        <v>45.82181061296285</v>
      </c>
      <c r="H23" s="86" t="s">
        <v>660</v>
      </c>
      <c r="I23" s="113" t="s">
        <v>642</v>
      </c>
      <c r="J23" s="113"/>
      <c r="K23" s="113"/>
      <c r="L23" s="113"/>
      <c r="M23" s="113"/>
      <c r="N23" s="117"/>
      <c r="O23" s="117"/>
    </row>
    <row r="24" spans="1:15" ht="17" thickBot="1">
      <c r="A24" t="s">
        <v>641</v>
      </c>
      <c r="C24" s="4">
        <f>SUM(Gravity!R:R)</f>
        <v>193561.06321003579</v>
      </c>
      <c r="D24">
        <f>Habitat!I11/$C$15</f>
        <v>166666.66666666666</v>
      </c>
      <c r="E24" s="34">
        <f>C24/D24</f>
        <v>1.1613663792602149</v>
      </c>
      <c r="H24" s="86">
        <v>0</v>
      </c>
      <c r="I24" s="114">
        <v>1</v>
      </c>
      <c r="J24" s="115">
        <v>2</v>
      </c>
      <c r="K24" s="115">
        <v>3</v>
      </c>
      <c r="L24" s="115">
        <v>4</v>
      </c>
      <c r="M24" s="116">
        <v>5</v>
      </c>
      <c r="N24" s="117">
        <v>6</v>
      </c>
      <c r="O24" s="117">
        <v>7</v>
      </c>
    </row>
    <row r="25" spans="1:15">
      <c r="A25" t="s">
        <v>665</v>
      </c>
      <c r="C25" s="4">
        <f>SUM(Gravity!S:S)</f>
        <v>91580.072643953099</v>
      </c>
      <c r="D25" s="4">
        <f>C25</f>
        <v>91580.072643953099</v>
      </c>
      <c r="E25" s="34">
        <f t="shared" ref="E25:E26" si="0">C25/D25</f>
        <v>1</v>
      </c>
      <c r="G25" t="s">
        <v>835</v>
      </c>
      <c r="H25" s="102">
        <f>D20/C19</f>
        <v>5.8935891176224546E-2</v>
      </c>
      <c r="I25" s="103">
        <v>0</v>
      </c>
      <c r="J25" s="104">
        <v>0.15</v>
      </c>
      <c r="K25" s="104">
        <v>0</v>
      </c>
      <c r="L25" s="105">
        <v>0.5</v>
      </c>
      <c r="M25" s="106">
        <v>0.1</v>
      </c>
      <c r="N25" s="106">
        <v>0</v>
      </c>
      <c r="O25" s="106">
        <v>0</v>
      </c>
    </row>
    <row r="26" spans="1:15">
      <c r="A26" t="s">
        <v>693</v>
      </c>
      <c r="C26" s="4">
        <f>C19*0.1</f>
        <v>183107.72781448107</v>
      </c>
      <c r="D26" s="4">
        <f>C26</f>
        <v>183107.72781448107</v>
      </c>
      <c r="E26" s="34">
        <f t="shared" si="0"/>
        <v>1</v>
      </c>
      <c r="G26" t="s">
        <v>117</v>
      </c>
      <c r="H26" s="87">
        <f>D21/C19</f>
        <v>0.1001232091739355</v>
      </c>
      <c r="I26" s="107">
        <v>0</v>
      </c>
      <c r="J26" s="80">
        <v>0.68</v>
      </c>
      <c r="K26" s="80">
        <v>0</v>
      </c>
      <c r="L26" s="82">
        <v>0</v>
      </c>
      <c r="M26" s="108">
        <v>0</v>
      </c>
      <c r="N26" s="108">
        <v>0</v>
      </c>
      <c r="O26" s="108">
        <v>0</v>
      </c>
    </row>
    <row r="27" spans="1:15">
      <c r="A27" t="s">
        <v>323</v>
      </c>
      <c r="E27" s="34"/>
      <c r="G27" t="s">
        <v>553</v>
      </c>
      <c r="H27" s="87">
        <f>D22/C19</f>
        <v>0.46271739140590568</v>
      </c>
      <c r="I27" s="107">
        <v>0.9</v>
      </c>
      <c r="J27" s="80">
        <v>0.04</v>
      </c>
      <c r="K27" s="80">
        <v>0</v>
      </c>
      <c r="L27" s="82">
        <v>0.37</v>
      </c>
      <c r="M27" s="108">
        <v>0.22</v>
      </c>
      <c r="N27" s="108">
        <v>0</v>
      </c>
      <c r="O27" s="108">
        <v>0</v>
      </c>
    </row>
    <row r="28" spans="1:15">
      <c r="A28" t="s">
        <v>647</v>
      </c>
      <c r="C28" s="83">
        <f>SUM(L25:L29)</f>
        <v>0.92</v>
      </c>
      <c r="E28" s="34"/>
      <c r="G28" t="s">
        <v>836</v>
      </c>
      <c r="H28" s="87">
        <f>D23/C19</f>
        <v>1.3920624810467078E-3</v>
      </c>
      <c r="I28" s="107">
        <v>0.01</v>
      </c>
      <c r="J28" s="80">
        <v>0.05</v>
      </c>
      <c r="K28" s="80">
        <v>0.04</v>
      </c>
      <c r="L28" s="82">
        <v>0.05</v>
      </c>
      <c r="M28" s="108">
        <v>0.6</v>
      </c>
      <c r="N28" s="108">
        <v>0</v>
      </c>
      <c r="O28" s="108">
        <v>0</v>
      </c>
    </row>
    <row r="29" spans="1:15">
      <c r="G29" t="s">
        <v>643</v>
      </c>
      <c r="H29" s="87">
        <f>D24/C19</f>
        <v>9.1021099249032261E-2</v>
      </c>
      <c r="I29" s="107">
        <v>0</v>
      </c>
      <c r="J29" s="80">
        <v>0</v>
      </c>
      <c r="K29" s="80">
        <v>0</v>
      </c>
      <c r="L29" s="82">
        <v>0</v>
      </c>
      <c r="M29" s="108">
        <v>0</v>
      </c>
      <c r="N29" s="108">
        <v>0.92</v>
      </c>
      <c r="O29" s="108">
        <v>0.92</v>
      </c>
    </row>
    <row r="30" spans="1:15">
      <c r="A30" t="s">
        <v>661</v>
      </c>
      <c r="B30">
        <f>LOOKUP(C30,Gravity!D:D,Gravity!A:A)</f>
        <v>19</v>
      </c>
      <c r="C30" s="3">
        <f>C14-C11+D11</f>
        <v>214</v>
      </c>
      <c r="D30">
        <f>LOOKUP(B30,Gravity!A:A,Gravity!H:H)</f>
        <v>131.14877048604001</v>
      </c>
      <c r="G30" t="s">
        <v>665</v>
      </c>
      <c r="H30" s="87">
        <f>D25/$C$19</f>
        <v>5.0014313288153041E-2</v>
      </c>
      <c r="I30" s="107">
        <v>0.01</v>
      </c>
      <c r="J30" s="80">
        <v>5.0000000000000001E-4</v>
      </c>
      <c r="K30" s="80">
        <v>0.88</v>
      </c>
      <c r="L30" s="82">
        <v>0</v>
      </c>
      <c r="M30" s="108">
        <v>0</v>
      </c>
      <c r="N30" s="108">
        <v>0</v>
      </c>
      <c r="O30" s="108">
        <v>0</v>
      </c>
    </row>
    <row r="31" spans="1:15" ht="17" thickBot="1">
      <c r="C31" s="3"/>
      <c r="H31" s="87">
        <f>D26/$C$19</f>
        <v>0.1</v>
      </c>
      <c r="I31" s="109">
        <v>0.08</v>
      </c>
      <c r="J31" s="110">
        <v>0.08</v>
      </c>
      <c r="K31" s="110">
        <v>0.08</v>
      </c>
      <c r="L31" s="111">
        <v>0.08</v>
      </c>
      <c r="M31" s="112">
        <v>0.08</v>
      </c>
      <c r="N31" s="112">
        <v>0.08</v>
      </c>
      <c r="O31" s="112">
        <v>0.08</v>
      </c>
    </row>
    <row r="32" spans="1:15" ht="17" thickBot="1">
      <c r="A32" t="s">
        <v>324</v>
      </c>
      <c r="E32" t="s">
        <v>541</v>
      </c>
      <c r="H32" s="117"/>
      <c r="I32" s="99">
        <v>5</v>
      </c>
      <c r="J32" s="100">
        <v>5</v>
      </c>
      <c r="K32" s="100">
        <v>5</v>
      </c>
      <c r="L32" s="100">
        <v>5</v>
      </c>
      <c r="M32" s="101">
        <v>5</v>
      </c>
      <c r="N32" s="101">
        <v>5</v>
      </c>
      <c r="O32" s="101">
        <v>5</v>
      </c>
    </row>
    <row r="33" spans="1:15">
      <c r="A33" t="s">
        <v>298</v>
      </c>
      <c r="E33" s="2">
        <f>Habitat!I13</f>
        <v>3423209.340353786</v>
      </c>
      <c r="H33" s="87">
        <f>SUM(H25:H31)</f>
        <v>0.86420396677429778</v>
      </c>
      <c r="I33" s="85">
        <f>SUM(I25:I31)</f>
        <v>1</v>
      </c>
      <c r="J33" s="85">
        <f>SUM(J25:J31)</f>
        <v>1.0005000000000002</v>
      </c>
      <c r="K33" s="85">
        <f>SUM(K25:K31)</f>
        <v>1</v>
      </c>
      <c r="L33" s="85">
        <f t="shared" ref="L33:M33" si="1">SUM(L25:L31)</f>
        <v>1</v>
      </c>
      <c r="M33" s="85">
        <f t="shared" si="1"/>
        <v>0.99999999999999989</v>
      </c>
      <c r="N33" s="85">
        <f t="shared" ref="N33:O33" si="2">SUM(N25:N31)</f>
        <v>1</v>
      </c>
      <c r="O33" s="85">
        <f t="shared" si="2"/>
        <v>1</v>
      </c>
    </row>
    <row r="34" spans="1:15">
      <c r="A34" t="s">
        <v>300</v>
      </c>
      <c r="E34">
        <f>Vehicle!B2</f>
        <v>3</v>
      </c>
    </row>
    <row r="35" spans="1:15">
      <c r="A35" t="s">
        <v>302</v>
      </c>
      <c r="E35" s="38">
        <f>E33/E34</f>
        <v>1141069.7801179287</v>
      </c>
      <c r="F35" s="38"/>
    </row>
    <row r="36" spans="1:15">
      <c r="E36" s="15">
        <f>E37/$E$35</f>
        <v>4.0313047283791823E-5</v>
      </c>
      <c r="F36" s="15"/>
      <c r="G36" s="34"/>
    </row>
    <row r="37" spans="1:15">
      <c r="A37" t="s">
        <v>303</v>
      </c>
      <c r="E37" s="38">
        <f>SUM(Gravity!L:L)</f>
        <v>46</v>
      </c>
      <c r="F37" s="38"/>
      <c r="G37" s="58"/>
    </row>
    <row r="38" spans="1:15">
      <c r="A38" t="s">
        <v>301</v>
      </c>
      <c r="E38" s="48">
        <v>4</v>
      </c>
    </row>
    <row r="39" spans="1:15">
      <c r="A39" t="s">
        <v>273</v>
      </c>
      <c r="E39" s="48">
        <f>Habitat!C18</f>
        <v>46</v>
      </c>
      <c r="G39" s="3"/>
      <c r="H39" s="34"/>
      <c r="I39" s="34"/>
    </row>
    <row r="40" spans="1:15" ht="15" customHeight="1">
      <c r="A40" t="s">
        <v>326</v>
      </c>
      <c r="E40" s="3">
        <v>1</v>
      </c>
      <c r="F40" s="3"/>
      <c r="H40" s="58"/>
      <c r="I40" s="58"/>
    </row>
    <row r="41" spans="1:15">
      <c r="A41" t="s">
        <v>104</v>
      </c>
      <c r="E41" s="3">
        <f>140-4</f>
        <v>136</v>
      </c>
      <c r="F41" s="3">
        <f>E41*2</f>
        <v>272</v>
      </c>
    </row>
    <row r="42" spans="1:15">
      <c r="A42" t="s">
        <v>323</v>
      </c>
      <c r="E42" s="3">
        <f>E41*2</f>
        <v>272</v>
      </c>
      <c r="F42" s="3">
        <f>CEILING(E1*0.5,10)</f>
        <v>180</v>
      </c>
      <c r="H42" s="3"/>
      <c r="I42" s="3"/>
    </row>
    <row r="43" spans="1:15">
      <c r="A43" t="s">
        <v>328</v>
      </c>
      <c r="E43" s="3">
        <f>E42</f>
        <v>272</v>
      </c>
      <c r="F43" s="3"/>
    </row>
    <row r="44" spans="1:15">
      <c r="A44" t="s">
        <v>706</v>
      </c>
      <c r="E44" s="3">
        <f>E41/8</f>
        <v>17</v>
      </c>
      <c r="F44" s="3"/>
      <c r="H44" s="3"/>
    </row>
    <row r="45" spans="1:15">
      <c r="A45" t="s">
        <v>705</v>
      </c>
      <c r="E45" s="3">
        <f>E1-E41+E44</f>
        <v>231</v>
      </c>
      <c r="F45" s="3"/>
    </row>
    <row r="46" spans="1:15">
      <c r="A46" t="s">
        <v>308</v>
      </c>
      <c r="E46" s="3"/>
    </row>
    <row r="48" spans="1:15">
      <c r="A48" t="s">
        <v>304</v>
      </c>
      <c r="E48" s="38">
        <f>IF(E42&lt;E41,2*PI()*E41*E41+PI()*E42*E42/E46*LN((1+E46)/(1-E46)),4*PI()*E41*E41)</f>
        <v>232427.59088318728</v>
      </c>
      <c r="F48" s="38"/>
      <c r="G48" s="38"/>
    </row>
    <row r="49" spans="1:9">
      <c r="A49" t="s">
        <v>306</v>
      </c>
      <c r="E49" s="38">
        <f>4*PI()/3*E41*E41*E41</f>
        <v>10536717.453371154</v>
      </c>
      <c r="F49" s="38"/>
      <c r="G49" s="38"/>
      <c r="H49" s="3"/>
    </row>
    <row r="50" spans="1:9">
      <c r="A50" t="s">
        <v>332</v>
      </c>
      <c r="E50" s="3">
        <f>E48/E49</f>
        <v>2.205882352941177E-2</v>
      </c>
      <c r="F50" s="3"/>
      <c r="G50" s="3"/>
    </row>
    <row r="51" spans="1:9">
      <c r="A51" t="s">
        <v>313</v>
      </c>
      <c r="E51" s="2">
        <f>E48*E2</f>
        <v>464855181.76637459</v>
      </c>
      <c r="F51" s="2"/>
      <c r="G51" s="2"/>
      <c r="H51" s="38"/>
      <c r="I51" s="38"/>
    </row>
    <row r="52" spans="1:9">
      <c r="A52" t="s">
        <v>329</v>
      </c>
      <c r="E52" s="2">
        <f>E49*$E$6</f>
        <v>1891827465.0584583</v>
      </c>
      <c r="F52" s="2"/>
      <c r="G52" s="2"/>
      <c r="H52" s="38"/>
      <c r="I52" s="38"/>
    </row>
    <row r="53" spans="1:9">
      <c r="E53" s="2"/>
      <c r="F53" s="2"/>
      <c r="G53" s="2"/>
      <c r="H53" s="3"/>
      <c r="I53" s="3"/>
    </row>
    <row r="54" spans="1:9">
      <c r="A54" t="s">
        <v>18</v>
      </c>
      <c r="E54" s="2">
        <f>E37*Conversion!B11</f>
        <v>78200</v>
      </c>
      <c r="F54" s="2"/>
      <c r="G54" s="2"/>
      <c r="H54" s="2"/>
      <c r="I54" s="2"/>
    </row>
    <row r="55" spans="1:9">
      <c r="A55" t="s">
        <v>294</v>
      </c>
      <c r="E55" s="2">
        <f>(E49-E54/Conversion!B11-E52/8000)*Conversion!B10</f>
        <v>12617736.449792588</v>
      </c>
      <c r="F55" s="2"/>
      <c r="G55" s="2"/>
      <c r="H55" s="2"/>
      <c r="I55" s="2"/>
    </row>
    <row r="56" spans="1:9">
      <c r="E56" s="2"/>
      <c r="F56" s="3"/>
      <c r="G56" s="2"/>
      <c r="H56" s="2"/>
      <c r="I56" s="2"/>
    </row>
    <row r="57" spans="1:9">
      <c r="A57" t="s">
        <v>524</v>
      </c>
      <c r="E57" s="2">
        <f>(E55+E54+E52+E51)*Vehicle!B2</f>
        <v>7108135749.8238773</v>
      </c>
      <c r="F57" s="2"/>
      <c r="G57" s="2"/>
      <c r="H57" s="3"/>
      <c r="I57" s="2"/>
    </row>
    <row r="58" spans="1:9">
      <c r="A58" t="s">
        <v>534</v>
      </c>
      <c r="E58" s="2">
        <f>0.25*E57*(4*(E1-E41)*(E1-E41)+4*(E41*E41))+0.5*E1*E1*E65</f>
        <v>468233740549567.44</v>
      </c>
      <c r="F58" s="2"/>
      <c r="G58" s="128"/>
      <c r="H58" s="2"/>
      <c r="I58" s="2"/>
    </row>
    <row r="59" spans="1:9">
      <c r="A59" t="s">
        <v>535</v>
      </c>
      <c r="E59" s="2">
        <f>E58*E4</f>
        <v>78350490758470.109</v>
      </c>
      <c r="F59" s="2"/>
      <c r="G59" s="2"/>
      <c r="H59" s="2"/>
      <c r="I59" s="2"/>
    </row>
    <row r="60" spans="1:9">
      <c r="A60" t="s">
        <v>536</v>
      </c>
      <c r="E60" s="3">
        <f>E61-10</f>
        <v>68</v>
      </c>
      <c r="F60" s="2"/>
      <c r="G60" s="2"/>
      <c r="H60" s="2"/>
      <c r="I60" s="2"/>
    </row>
    <row r="61" spans="1:9">
      <c r="A61" t="s">
        <v>533</v>
      </c>
      <c r="E61" s="3">
        <f>FLOOR(E1-E42,1)</f>
        <v>78</v>
      </c>
      <c r="F61" s="2"/>
      <c r="G61" s="2"/>
      <c r="H61" s="2"/>
      <c r="I61" s="2"/>
    </row>
    <row r="62" spans="1:9">
      <c r="B62" t="s">
        <v>546</v>
      </c>
      <c r="E62" s="2">
        <f>(PI()*E61*E61-PI()*E60*E60)</f>
        <v>4586.7252742410947</v>
      </c>
      <c r="H62" s="2"/>
      <c r="I62" s="2"/>
    </row>
    <row r="63" spans="1:9">
      <c r="A63" t="s">
        <v>538</v>
      </c>
      <c r="E63" s="3">
        <v>5</v>
      </c>
      <c r="H63" s="2"/>
      <c r="I63" s="2"/>
    </row>
    <row r="64" spans="1:9">
      <c r="A64" t="s">
        <v>542</v>
      </c>
      <c r="E64" s="2">
        <v>8000</v>
      </c>
      <c r="F64" s="2"/>
      <c r="G64" s="2"/>
      <c r="H64" s="2"/>
      <c r="I64" s="2"/>
    </row>
    <row r="65" spans="1:9">
      <c r="A65" t="s">
        <v>532</v>
      </c>
      <c r="E65" s="2">
        <f>E62*E63*E64</f>
        <v>183469010.96964377</v>
      </c>
      <c r="F65" s="34">
        <f>E65/E57</f>
        <v>2.5811129306891712E-2</v>
      </c>
      <c r="G65" s="2"/>
      <c r="H65" s="2"/>
      <c r="I65" s="2"/>
    </row>
    <row r="66" spans="1:9">
      <c r="A66" t="s">
        <v>537</v>
      </c>
      <c r="E66" s="2">
        <f>0.5*E65*(E61*E61+E60*E60)</f>
        <v>982293084731.47278</v>
      </c>
      <c r="F66" s="2"/>
      <c r="G66" s="2"/>
      <c r="H66" s="2"/>
      <c r="I66" s="2"/>
    </row>
    <row r="67" spans="1:9">
      <c r="A67" t="s">
        <v>539</v>
      </c>
      <c r="E67" s="2">
        <f>E59/E66</f>
        <v>79.762844690990164</v>
      </c>
      <c r="F67" s="3">
        <f>E67*30/PI()</f>
        <v>761.67906045853351</v>
      </c>
      <c r="H67" s="2"/>
      <c r="I67" s="2"/>
    </row>
    <row r="68" spans="1:9">
      <c r="H68" s="2"/>
      <c r="I68" s="2"/>
    </row>
    <row r="69" spans="1:9">
      <c r="A69" t="s">
        <v>704</v>
      </c>
      <c r="H69" s="2"/>
      <c r="I69" s="2"/>
    </row>
    <row r="70" spans="1:9">
      <c r="A70" t="s">
        <v>306</v>
      </c>
      <c r="B70">
        <f>Vehicle!B19</f>
        <v>5000000000</v>
      </c>
    </row>
    <row r="71" spans="1:9">
      <c r="A71" t="s">
        <v>702</v>
      </c>
      <c r="B71" s="3">
        <f>E1*1.1</f>
        <v>385.00000000000006</v>
      </c>
    </row>
    <row r="72" spans="1:9">
      <c r="A72" t="s">
        <v>308</v>
      </c>
      <c r="B72">
        <f>B71*B71*PI()</f>
        <v>465662.57107834728</v>
      </c>
    </row>
    <row r="73" spans="1:9">
      <c r="A73" t="s">
        <v>701</v>
      </c>
      <c r="B73">
        <f>B70/1000/B72</f>
        <v>10.737388638346788</v>
      </c>
    </row>
    <row r="74" spans="1:9">
      <c r="A74" t="s">
        <v>703</v>
      </c>
      <c r="B74">
        <f>2*PI()*B71*(B73+B71)</f>
        <v>957299.16813072027</v>
      </c>
    </row>
  </sheetData>
  <pageMargins left="0.7" right="0.7" top="0.75" bottom="0.75" header="0.3" footer="0.3"/>
  <pageSetup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7A36E-F675-1441-A197-69A5DDF8AA03}">
  <dimension ref="A1:T212"/>
  <sheetViews>
    <sheetView zoomScale="99" workbookViewId="0">
      <selection activeCell="K57" sqref="K57"/>
    </sheetView>
  </sheetViews>
  <sheetFormatPr baseColWidth="10" defaultRowHeight="16"/>
  <cols>
    <col min="7" max="7" width="13.6640625" bestFit="1" customWidth="1"/>
    <col min="8" max="11" width="13.6640625" customWidth="1"/>
    <col min="18" max="18" width="11.6640625" bestFit="1" customWidth="1"/>
  </cols>
  <sheetData>
    <row r="1" spans="1:19">
      <c r="A1" t="s">
        <v>666</v>
      </c>
      <c r="C1">
        <f>Habitat!C18</f>
        <v>46</v>
      </c>
    </row>
    <row r="2" spans="1:19">
      <c r="A2" t="s">
        <v>662</v>
      </c>
      <c r="C2">
        <f>Habitat!B30</f>
        <v>19</v>
      </c>
      <c r="E2" s="88"/>
      <c r="F2" s="88"/>
      <c r="G2" s="88"/>
      <c r="H2" s="88" t="s">
        <v>831</v>
      </c>
      <c r="I2" s="88"/>
      <c r="J2" s="88"/>
      <c r="K2" s="88" t="s">
        <v>832</v>
      </c>
      <c r="L2" s="88"/>
      <c r="M2" s="88"/>
    </row>
    <row r="3" spans="1:19">
      <c r="A3" t="s">
        <v>663</v>
      </c>
      <c r="C3">
        <v>3</v>
      </c>
      <c r="D3">
        <f>C2-C3/2</f>
        <v>17.5</v>
      </c>
      <c r="E3">
        <f>C2+C3/2</f>
        <v>20.5</v>
      </c>
      <c r="F3" s="88"/>
      <c r="G3" s="88"/>
      <c r="H3" s="88"/>
      <c r="I3" s="88"/>
      <c r="J3" s="88"/>
      <c r="K3" s="88"/>
      <c r="L3" s="88"/>
    </row>
    <row r="4" spans="1:19">
      <c r="A4" t="s">
        <v>665</v>
      </c>
      <c r="C4">
        <v>4</v>
      </c>
      <c r="F4" s="88"/>
      <c r="G4" s="88"/>
      <c r="H4" s="88" t="s">
        <v>826</v>
      </c>
      <c r="I4" s="88"/>
      <c r="J4" s="88"/>
      <c r="K4" s="88" t="s">
        <v>828</v>
      </c>
      <c r="L4" s="88"/>
    </row>
    <row r="5" spans="1:19">
      <c r="A5" t="s">
        <v>830</v>
      </c>
      <c r="C5" s="3">
        <f>Habitat!E41</f>
        <v>136</v>
      </c>
      <c r="F5" s="88"/>
      <c r="G5" s="88"/>
      <c r="H5" s="88" t="s">
        <v>827</v>
      </c>
      <c r="I5" s="88"/>
      <c r="J5" s="88"/>
      <c r="K5" s="88" t="s">
        <v>829</v>
      </c>
      <c r="L5" s="88"/>
    </row>
    <row r="6" spans="1:19">
      <c r="A6" t="s">
        <v>317</v>
      </c>
      <c r="C6" s="3">
        <f>Habitat!E1</f>
        <v>350</v>
      </c>
      <c r="F6" s="88"/>
      <c r="G6" s="88"/>
      <c r="H6" s="88"/>
      <c r="I6" s="88"/>
      <c r="J6" s="88"/>
      <c r="K6" s="88"/>
      <c r="L6" s="88"/>
    </row>
    <row r="7" spans="1:19">
      <c r="A7" t="s">
        <v>705</v>
      </c>
      <c r="C7" s="3">
        <f>Habitat!E45</f>
        <v>231</v>
      </c>
      <c r="F7" s="88">
        <f>E11*E11</f>
        <v>18496</v>
      </c>
      <c r="G7" s="88">
        <f>Habitat!E11</f>
        <v>18496</v>
      </c>
      <c r="H7" s="88"/>
      <c r="I7" s="88"/>
      <c r="J7" s="88"/>
      <c r="K7" s="88">
        <f>C5*2*E11-E11^2</f>
        <v>-55488</v>
      </c>
      <c r="L7" s="88"/>
    </row>
    <row r="8" spans="1:19">
      <c r="A8" t="s">
        <v>708</v>
      </c>
      <c r="C8" s="3">
        <f>Habitat!E41</f>
        <v>136</v>
      </c>
      <c r="F8" s="88"/>
      <c r="G8" s="88"/>
      <c r="H8" s="88"/>
      <c r="I8" s="88"/>
      <c r="J8" s="88"/>
      <c r="K8" s="88"/>
      <c r="L8" s="88"/>
    </row>
    <row r="9" spans="1:19">
      <c r="A9" t="s">
        <v>273</v>
      </c>
      <c r="B9" t="s">
        <v>633</v>
      </c>
      <c r="C9" t="s">
        <v>550</v>
      </c>
      <c r="D9" t="s">
        <v>321</v>
      </c>
      <c r="E9" t="s">
        <v>325</v>
      </c>
      <c r="G9" t="s">
        <v>322</v>
      </c>
      <c r="H9" t="s">
        <v>320</v>
      </c>
      <c r="I9" t="s">
        <v>833</v>
      </c>
      <c r="J9" t="s">
        <v>834</v>
      </c>
      <c r="K9" t="s">
        <v>528</v>
      </c>
      <c r="M9" t="s">
        <v>185</v>
      </c>
      <c r="N9" t="s">
        <v>553</v>
      </c>
      <c r="O9" t="s">
        <v>634</v>
      </c>
      <c r="P9" t="s">
        <v>635</v>
      </c>
      <c r="Q9" t="s">
        <v>636</v>
      </c>
      <c r="R9" t="s">
        <v>641</v>
      </c>
      <c r="S9" t="s">
        <v>665</v>
      </c>
    </row>
    <row r="10" spans="1:19">
      <c r="D10" s="48">
        <f>C7-C8</f>
        <v>95</v>
      </c>
      <c r="E10" s="48" t="s">
        <v>779</v>
      </c>
      <c r="F10" s="3">
        <f>Habitat!$D$13^2*D10</f>
        <v>7.4480000000000005E-2</v>
      </c>
      <c r="G10" s="3">
        <f>IF(H10&gt;0,F10/9.8,0)</f>
        <v>0</v>
      </c>
      <c r="H10" s="3">
        <f>IF(E10&lt;=$C$5,SQRT($C$5^2-E10^2),0)</f>
        <v>0</v>
      </c>
      <c r="I10" s="3">
        <f>-K10/2</f>
        <v>0</v>
      </c>
      <c r="J10" s="3"/>
      <c r="K10" s="3">
        <f>H10*20</f>
        <v>0</v>
      </c>
      <c r="L10" s="3">
        <f>IF(H10&gt;0,1,0)</f>
        <v>0</v>
      </c>
      <c r="M10" s="4"/>
    </row>
    <row r="11" spans="1:19">
      <c r="A11" s="5">
        <v>1</v>
      </c>
      <c r="B11" s="5">
        <f>FLOOR(ABS($C$7+$C$5-D11),1)</f>
        <v>257</v>
      </c>
      <c r="C11" s="5">
        <v>3</v>
      </c>
      <c r="D11" s="56">
        <f>FLOOR((D10+Habitat!E41/8)/5,1)*5</f>
        <v>110</v>
      </c>
      <c r="E11" s="48">
        <f>IF(D11&lt;=$C$7,D10-$C$7,D11-$C$7)</f>
        <v>-136</v>
      </c>
      <c r="F11" s="7">
        <f>Habitat!$D$13*D11</f>
        <v>3.08</v>
      </c>
      <c r="G11" s="7">
        <f>IF(H11&gt;0,F11/9.8,0)</f>
        <v>0</v>
      </c>
      <c r="H11" s="3">
        <f>IF(E11&lt;=$C$5,SQRT($C$5^2-E11^2),0)</f>
        <v>0</v>
      </c>
      <c r="I11" s="3">
        <f t="shared" ref="I11:I44" si="0">-K11/2</f>
        <v>0</v>
      </c>
      <c r="J11" s="3">
        <f>(D10-$C$7)*10</f>
        <v>-1360</v>
      </c>
      <c r="K11" s="3">
        <f t="shared" ref="K11:K44" si="1">H11*20</f>
        <v>0</v>
      </c>
      <c r="L11" s="7">
        <f t="shared" ref="L11:L44" si="2">IF(H11&gt;0,1,0)</f>
        <v>0</v>
      </c>
      <c r="M11" s="8">
        <f t="shared" ref="M11:M42" si="3">PI()*H11*H11</f>
        <v>0</v>
      </c>
      <c r="N11" s="48">
        <f>IF(C11=1,M11*Habitat!$I$27,0)+IF(C11=2,M11*Habitat!$J$27,0)+IF(C11=3,M11*Habitat!$K$27,0)+IF(C11=4,M11*Habitat!$L$27,0)+IF(C11=5,M11*Habitat!$M$27,0)</f>
        <v>0</v>
      </c>
      <c r="O11" s="48">
        <f>IF(C11=1,M11*Habitat!$I$26,0)+IF(C11=2,M11*Habitat!$J$26,0)+IF(C11=3,M11*Habitat!$K$26,0)+IF(C11=4,M11*Habitat!$L$26,0)+IF(C11=5,M11*Habitat!$M$26,0)</f>
        <v>0</v>
      </c>
      <c r="P11" s="48">
        <f>IF(C11=1,M11*Habitat!$I$25,0)+IF(C11=2,M11*Habitat!$J$25,0)+IF(C11=3,M11*Habitat!$K$25,0)+IF(C11=4,M11*Habitat!$L$25,0)+IF(C11=5,M11*Habitat!$M$25,0)+IF(C11=6,M11*Habitat!$N$25,0)</f>
        <v>0</v>
      </c>
      <c r="Q11" s="48">
        <f>IF(C11=1,M11*Habitat!$I$28,0)+IF(C11=2,M11*Habitat!$J$28,0)+IF(C11=3,M11*Habitat!$K$28,0)+IF(C11=4,M11*Habitat!$L$28,0)+IF(C11=5,M11*Habitat!$M$28,0)</f>
        <v>0</v>
      </c>
      <c r="R11" s="48">
        <f>IF(C11=1,M11*Habitat!$I$29,0)+IF(C11=2,M11*Habitat!$J$29,0)+IF(C11=3,M11*Habitat!$K$29,0)+IF(C11=4,M11*Habitat!$L$29,0)+IF(C11=5,M11*Habitat!$M$29,0)*IF(C11=7,M11*Habitat!$O$29,0)</f>
        <v>0</v>
      </c>
      <c r="S11">
        <f>IF(C11=1,M11*Habitat!$I$30,0)+IF(C11=2,M11*Habitat!$J$30,0)+IF(C11=3,M11*Habitat!$K$30,0)+IF(C11=4,M11*Habitat!$L$30,0)+IF(C11=5,M11*Habitat!$M$30,0)</f>
        <v>0</v>
      </c>
    </row>
    <row r="12" spans="1:19">
      <c r="A12" s="5">
        <f t="shared" ref="A12:A43" si="4">A11+1</f>
        <v>2</v>
      </c>
      <c r="B12" s="5">
        <f t="shared" ref="B12:B69" si="5">FLOOR(ABS($C$7+$C$5-D12),1)</f>
        <v>252</v>
      </c>
      <c r="C12" s="5">
        <v>3</v>
      </c>
      <c r="D12" s="56">
        <f>D11+Habitat!$C$16</f>
        <v>115</v>
      </c>
      <c r="E12" s="48">
        <f t="shared" ref="E12:E45" si="6">IF(D12&lt;=$C$7,D11-$C$7,D12-$C$7)</f>
        <v>-121</v>
      </c>
      <c r="F12" s="7">
        <f>Habitat!$D$13*D12</f>
        <v>3.22</v>
      </c>
      <c r="G12" s="7">
        <f t="shared" ref="G12:G74" si="7">IF(H12&gt;0,F12/9.8,0)</f>
        <v>0.32857142857142857</v>
      </c>
      <c r="H12" s="3">
        <f t="shared" ref="H12:H45" si="8">IF(E12&lt;=$C$5,SQRT($C$5^2-E12^2),0)</f>
        <v>62.088646305101548</v>
      </c>
      <c r="I12" s="3">
        <f t="shared" si="0"/>
        <v>-620.88646305101543</v>
      </c>
      <c r="J12" s="3">
        <f t="shared" ref="J12:J44" si="9">(D11-$C$7)*10</f>
        <v>-1210</v>
      </c>
      <c r="K12" s="3">
        <f t="shared" si="1"/>
        <v>1241.7729261020309</v>
      </c>
      <c r="L12" s="7">
        <f t="shared" si="2"/>
        <v>1</v>
      </c>
      <c r="M12" s="8">
        <f t="shared" si="3"/>
        <v>12110.839679588653</v>
      </c>
      <c r="N12" s="48">
        <f>IF(C12=1,M12*Habitat!$I$27,0)+IF(C12=2,M12*Habitat!$J$27,0)+IF(C12=3,M12*Habitat!$K$27,0)+IF(C12=4,M12*Habitat!$L$27,0)+IF(C12=5,M12*Habitat!$M$27,0)</f>
        <v>0</v>
      </c>
      <c r="O12" s="48">
        <f>IF(C12=1,M12*Habitat!$I$26,0)+IF(C12=2,M12*Habitat!$J$26,0)+IF(C12=3,M12*Habitat!$K$26,0)+IF(C12=4,M12*Habitat!$L$26,0)+IF(C12=5,M12*Habitat!$M$26,0)</f>
        <v>0</v>
      </c>
      <c r="P12" s="48">
        <f>IF(C12=1,M12*Habitat!$I$25,0)+IF(C12=2,M12*Habitat!$J$25,0)+IF(C12=3,M12*Habitat!$K$25,0)+IF(C12=4,M12*Habitat!$L$25,0)+IF(C12=5,M12*Habitat!$M$25,0)+IF(C12=6,M12*Habitat!$N$25,0)</f>
        <v>0</v>
      </c>
      <c r="Q12" s="48">
        <f>IF(C12=1,M12*Habitat!$I$28,0)+IF(C12=2,M12*Habitat!$J$28,0)+IF(C12=3,M12*Habitat!$K$28,0)+IF(C12=4,M12*Habitat!$L$28,0)+IF(C12=5,M12*Habitat!$M$28,0)</f>
        <v>484.43358718354614</v>
      </c>
      <c r="R12" s="48">
        <f>IF(C12=1,M12*Habitat!$I$29,0)+IF(C12=2,M12*Habitat!$J$29,0)+IF(C12=3,M12*Habitat!$K$29,0)+IF(C12=4,M12*Habitat!$L$29,0)+IF(C12=5,M12*Habitat!$M$29,0)*IF(C12=7,M12*Habitat!$O$29,0)</f>
        <v>0</v>
      </c>
      <c r="S12">
        <f>IF(C12=1,M12*Habitat!$I$30,0)+IF(C12=2,M12*Habitat!$J$30,0)+IF(C12=3,M12*Habitat!$K$30,0)+IF(C12=4,M12*Habitat!$L$30,0)+IF(C12=5,M12*Habitat!$M$30,0)</f>
        <v>10657.538918038015</v>
      </c>
    </row>
    <row r="13" spans="1:19">
      <c r="A13" s="5">
        <f t="shared" si="4"/>
        <v>3</v>
      </c>
      <c r="B13" s="5">
        <f t="shared" si="5"/>
        <v>247</v>
      </c>
      <c r="C13" s="5">
        <v>3</v>
      </c>
      <c r="D13" s="56">
        <f>D12+Habitat!$C$16</f>
        <v>120</v>
      </c>
      <c r="E13" s="48">
        <f t="shared" si="6"/>
        <v>-116</v>
      </c>
      <c r="F13" s="7">
        <f>Habitat!$D$13*D13</f>
        <v>3.36</v>
      </c>
      <c r="G13" s="7">
        <f t="shared" si="7"/>
        <v>0.3428571428571428</v>
      </c>
      <c r="H13" s="3">
        <f t="shared" si="8"/>
        <v>70.992957397195397</v>
      </c>
      <c r="I13" s="3">
        <f t="shared" si="0"/>
        <v>-709.92957397195391</v>
      </c>
      <c r="J13" s="3">
        <f t="shared" si="9"/>
        <v>-1160</v>
      </c>
      <c r="K13" s="3">
        <f t="shared" si="1"/>
        <v>1419.8591479439078</v>
      </c>
      <c r="L13" s="7">
        <f t="shared" si="2"/>
        <v>1</v>
      </c>
      <c r="M13" s="8">
        <f t="shared" si="3"/>
        <v>15833.62697409256</v>
      </c>
      <c r="N13" s="48">
        <f>IF(C13=1,M13*Habitat!$I$27,0)+IF(C13=2,M13*Habitat!$J$27,0)+IF(C13=3,M13*Habitat!$K$27,0)+IF(C13=4,M13*Habitat!$L$27,0)+IF(C13=5,M13*Habitat!$M$27,0)</f>
        <v>0</v>
      </c>
      <c r="O13" s="48">
        <f>IF(C13=1,M13*Habitat!$I$26,0)+IF(C13=2,M13*Habitat!$J$26,0)+IF(C13=3,M13*Habitat!$K$26,0)+IF(C13=4,M13*Habitat!$L$26,0)+IF(C13=5,M13*Habitat!$M$26,0)</f>
        <v>0</v>
      </c>
      <c r="P13" s="48">
        <f>IF(C13=1,M13*Habitat!$I$25,0)+IF(C13=2,M13*Habitat!$J$25,0)+IF(C13=3,M13*Habitat!$K$25,0)+IF(C13=4,M13*Habitat!$L$25,0)+IF(C13=5,M13*Habitat!$M$25,0)+IF(C13=6,M13*Habitat!$N$25,0)</f>
        <v>0</v>
      </c>
      <c r="Q13" s="48">
        <f>IF(C13=1,M13*Habitat!$I$28,0)+IF(C13=2,M13*Habitat!$J$28,0)+IF(C13=3,M13*Habitat!$K$28,0)+IF(C13=4,M13*Habitat!$L$28,0)+IF(C13=5,M13*Habitat!$M$28,0)</f>
        <v>633.34507896370246</v>
      </c>
      <c r="R13" s="48">
        <f>IF(C13=1,M13*Habitat!$I$29,0)+IF(C13=2,M13*Habitat!$J$29,0)+IF(C13=3,M13*Habitat!$K$29,0)+IF(C13=4,M13*Habitat!$L$29,0)+IF(C13=5,M13*Habitat!$M$29,0)*IF(C13=7,M13*Habitat!$O$29,0)</f>
        <v>0</v>
      </c>
      <c r="S13">
        <f>IF(C13=1,M13*Habitat!$I$30,0)+IF(C13=2,M13*Habitat!$J$30,0)+IF(C13=3,M13*Habitat!$K$30,0)+IF(C13=4,M13*Habitat!$L$30,0)+IF(C13=5,M13*Habitat!$M$30,0)</f>
        <v>13933.591737201454</v>
      </c>
    </row>
    <row r="14" spans="1:19">
      <c r="A14" s="5">
        <f t="shared" si="4"/>
        <v>4</v>
      </c>
      <c r="B14" s="5">
        <f t="shared" si="5"/>
        <v>242</v>
      </c>
      <c r="C14" s="5">
        <v>1</v>
      </c>
      <c r="D14" s="56">
        <f>D13+Habitat!$C$16</f>
        <v>125</v>
      </c>
      <c r="E14" s="48">
        <f t="shared" si="6"/>
        <v>-111</v>
      </c>
      <c r="F14" s="7">
        <f>Habitat!$D$13*D14</f>
        <v>3.5</v>
      </c>
      <c r="G14" s="7">
        <f t="shared" si="7"/>
        <v>0.3571428571428571</v>
      </c>
      <c r="H14" s="3">
        <f t="shared" si="8"/>
        <v>78.581168227508556</v>
      </c>
      <c r="I14" s="3">
        <f t="shared" si="0"/>
        <v>-785.81168227508556</v>
      </c>
      <c r="J14" s="3">
        <f t="shared" si="9"/>
        <v>-1110</v>
      </c>
      <c r="K14" s="3">
        <f t="shared" si="1"/>
        <v>1571.6233645501711</v>
      </c>
      <c r="L14" s="7">
        <f t="shared" si="2"/>
        <v>1</v>
      </c>
      <c r="M14" s="8">
        <f t="shared" si="3"/>
        <v>19399.334635916974</v>
      </c>
      <c r="N14" s="48">
        <f>IF(C14=1,M14*Habitat!$I$27,0)+IF(C14=2,M14*Habitat!$J$27,0)+IF(C14=3,M14*Habitat!$K$27,0)+IF(C14=4,M14*Habitat!$L$27,0)+IF(C14=5,M14*Habitat!$M$27,0)</f>
        <v>17459.401172325277</v>
      </c>
      <c r="O14" s="48">
        <f>IF(C14=1,M14*Habitat!$I$26,0)+IF(C14=2,M14*Habitat!$J$26,0)+IF(C14=3,M14*Habitat!$K$26,0)+IF(C14=4,M14*Habitat!$L$26,0)+IF(C14=5,M14*Habitat!$M$26,0)</f>
        <v>0</v>
      </c>
      <c r="P14" s="48">
        <f>IF(C14=1,M14*Habitat!$I$25,0)+IF(C14=2,M14*Habitat!$J$25,0)+IF(C14=3,M14*Habitat!$K$25,0)+IF(C14=4,M14*Habitat!$L$25,0)+IF(C14=5,M14*Habitat!$M$25,0)+IF(C14=6,M14*Habitat!$N$25,0)</f>
        <v>0</v>
      </c>
      <c r="Q14" s="48">
        <f>IF(C14=1,M14*Habitat!$I$28,0)+IF(C14=2,M14*Habitat!$J$28,0)+IF(C14=3,M14*Habitat!$K$28,0)+IF(C14=4,M14*Habitat!$L$28,0)+IF(C14=5,M14*Habitat!$M$28,0)</f>
        <v>193.99334635916975</v>
      </c>
      <c r="R14" s="48">
        <f>IF(C14=1,M14*Habitat!$I$29,0)+IF(C14=2,M14*Habitat!$J$29,0)+IF(C14=3,M14*Habitat!$K$29,0)+IF(C14=4,M14*Habitat!$L$29,0)+IF(C14=5,M14*Habitat!$M$29,0)*IF(C14=7,M14*Habitat!$O$29,0)</f>
        <v>0</v>
      </c>
      <c r="S14">
        <f>IF(C14=1,M14*Habitat!$I$30,0)+IF(C14=2,M14*Habitat!$J$30,0)+IF(C14=3,M14*Habitat!$K$30,0)+IF(C14=4,M14*Habitat!$L$30,0)+IF(C14=5,M14*Habitat!$M$30,0)</f>
        <v>193.99334635916975</v>
      </c>
    </row>
    <row r="15" spans="1:19">
      <c r="A15" s="5">
        <f t="shared" si="4"/>
        <v>5</v>
      </c>
      <c r="B15" s="5">
        <f t="shared" si="5"/>
        <v>237</v>
      </c>
      <c r="C15" s="5">
        <v>1</v>
      </c>
      <c r="D15" s="56">
        <f>D14+Habitat!$C$16</f>
        <v>130</v>
      </c>
      <c r="E15" s="48">
        <f t="shared" si="6"/>
        <v>-106</v>
      </c>
      <c r="F15" s="7">
        <f>Habitat!$D$13*D15</f>
        <v>3.64</v>
      </c>
      <c r="G15" s="7">
        <f t="shared" si="7"/>
        <v>0.37142857142857144</v>
      </c>
      <c r="H15" s="3">
        <f t="shared" si="8"/>
        <v>85.205633616563176</v>
      </c>
      <c r="I15" s="3">
        <f t="shared" si="0"/>
        <v>-852.05633616563182</v>
      </c>
      <c r="J15" s="3">
        <f t="shared" si="9"/>
        <v>-1060</v>
      </c>
      <c r="K15" s="3">
        <f t="shared" si="1"/>
        <v>1704.1126723312636</v>
      </c>
      <c r="L15" s="7">
        <f t="shared" si="2"/>
        <v>1</v>
      </c>
      <c r="M15" s="8">
        <f t="shared" si="3"/>
        <v>22807.962665061903</v>
      </c>
      <c r="N15" s="48">
        <f>IF(C15=1,M15*Habitat!$I$27,0)+IF(C15=2,M15*Habitat!$J$27,0)+IF(C15=3,M15*Habitat!$K$27,0)+IF(C15=4,M15*Habitat!$L$27,0)+IF(C15=5,M15*Habitat!$M$27,0)</f>
        <v>20527.166398555713</v>
      </c>
      <c r="O15" s="48">
        <f>IF(C15=1,M15*Habitat!$I$26,0)+IF(C15=2,M15*Habitat!$J$26,0)+IF(C15=3,M15*Habitat!$K$26,0)+IF(C15=4,M15*Habitat!$L$26,0)+IF(C15=5,M15*Habitat!$M$26,0)</f>
        <v>0</v>
      </c>
      <c r="P15" s="48">
        <f>IF(C15=1,M15*Habitat!$I$25,0)+IF(C15=2,M15*Habitat!$J$25,0)+IF(C15=3,M15*Habitat!$K$25,0)+IF(C15=4,M15*Habitat!$L$25,0)+IF(C15=5,M15*Habitat!$M$25,0)+IF(C15=6,M15*Habitat!$N$25,0)</f>
        <v>0</v>
      </c>
      <c r="Q15" s="48">
        <f>IF(C15=1,M15*Habitat!$I$28,0)+IF(C15=2,M15*Habitat!$J$28,0)+IF(C15=3,M15*Habitat!$K$28,0)+IF(C15=4,M15*Habitat!$L$28,0)+IF(C15=5,M15*Habitat!$M$28,0)</f>
        <v>228.07962665061905</v>
      </c>
      <c r="R15" s="48">
        <f>IF(C15=1,M15*Habitat!$I$29,0)+IF(C15=2,M15*Habitat!$J$29,0)+IF(C15=3,M15*Habitat!$K$29,0)+IF(C15=4,M15*Habitat!$L$29,0)+IF(C15=5,M15*Habitat!$M$29,0)*IF(C15=7,M15*Habitat!$O$29,0)</f>
        <v>0</v>
      </c>
      <c r="S15">
        <f>IF(C15=1,M15*Habitat!$I$30,0)+IF(C15=2,M15*Habitat!$J$30,0)+IF(C15=3,M15*Habitat!$K$30,0)+IF(C15=4,M15*Habitat!$L$30,0)+IF(C15=5,M15*Habitat!$M$30,0)</f>
        <v>228.07962665061905</v>
      </c>
    </row>
    <row r="16" spans="1:19">
      <c r="A16" s="5">
        <f t="shared" si="4"/>
        <v>6</v>
      </c>
      <c r="B16" s="5">
        <f t="shared" si="5"/>
        <v>232</v>
      </c>
      <c r="C16" s="5">
        <v>1</v>
      </c>
      <c r="D16" s="56">
        <f>D15+Habitat!$C$16</f>
        <v>135</v>
      </c>
      <c r="E16" s="48">
        <f t="shared" si="6"/>
        <v>-101</v>
      </c>
      <c r="F16" s="7">
        <f>Habitat!$D$13*D16</f>
        <v>3.7800000000000002</v>
      </c>
      <c r="G16" s="7">
        <f t="shared" si="7"/>
        <v>0.38571428571428573</v>
      </c>
      <c r="H16" s="3">
        <f t="shared" si="8"/>
        <v>91.076890592509798</v>
      </c>
      <c r="I16" s="3">
        <f t="shared" si="0"/>
        <v>-910.76890592509801</v>
      </c>
      <c r="J16" s="3">
        <f t="shared" si="9"/>
        <v>-1010</v>
      </c>
      <c r="K16" s="3">
        <f t="shared" si="1"/>
        <v>1821.537811850196</v>
      </c>
      <c r="L16" s="7">
        <f t="shared" si="2"/>
        <v>1</v>
      </c>
      <c r="M16" s="8">
        <f t="shared" si="3"/>
        <v>26059.51106152733</v>
      </c>
      <c r="N16" s="48">
        <f>IF(C16=1,M16*Habitat!$I$27,0)+IF(C16=2,M16*Habitat!$J$27,0)+IF(C16=3,M16*Habitat!$K$27,0)+IF(C16=4,M16*Habitat!$L$27,0)+IF(C16=5,M16*Habitat!$M$27,0)</f>
        <v>23453.559955374596</v>
      </c>
      <c r="O16" s="48">
        <f>IF(C16=1,M16*Habitat!$I$26,0)+IF(C16=2,M16*Habitat!$J$26,0)+IF(C16=3,M16*Habitat!$K$26,0)+IF(C16=4,M16*Habitat!$L$26,0)+IF(C16=5,M16*Habitat!$M$26,0)</f>
        <v>0</v>
      </c>
      <c r="P16" s="48">
        <f>IF(C16=1,M16*Habitat!$I$25,0)+IF(C16=2,M16*Habitat!$J$25,0)+IF(C16=3,M16*Habitat!$K$25,0)+IF(C16=4,M16*Habitat!$L$25,0)+IF(C16=5,M16*Habitat!$M$25,0)+IF(C16=6,M16*Habitat!$N$25,0)</f>
        <v>0</v>
      </c>
      <c r="Q16" s="48">
        <f>IF(C16=1,M16*Habitat!$I$28,0)+IF(C16=2,M16*Habitat!$J$28,0)+IF(C16=3,M16*Habitat!$K$28,0)+IF(C16=4,M16*Habitat!$L$28,0)+IF(C16=5,M16*Habitat!$M$28,0)</f>
        <v>260.59511061527331</v>
      </c>
      <c r="R16" s="48">
        <f>IF(C16=1,M16*Habitat!$I$29,0)+IF(C16=2,M16*Habitat!$J$29,0)+IF(C16=3,M16*Habitat!$K$29,0)+IF(C16=4,M16*Habitat!$L$29,0)+IF(C16=5,M16*Habitat!$M$29,0)*IF(C16=7,M16*Habitat!$O$29,0)</f>
        <v>0</v>
      </c>
      <c r="S16">
        <f>IF(C16=1,M16*Habitat!$I$30,0)+IF(C16=2,M16*Habitat!$J$30,0)+IF(C16=3,M16*Habitat!$K$30,0)+IF(C16=4,M16*Habitat!$L$30,0)+IF(C16=5,M16*Habitat!$M$30,0)</f>
        <v>260.59511061527331</v>
      </c>
    </row>
    <row r="17" spans="1:20">
      <c r="A17" s="5">
        <f t="shared" si="4"/>
        <v>7</v>
      </c>
      <c r="B17" s="5">
        <f t="shared" si="5"/>
        <v>227</v>
      </c>
      <c r="C17" s="5">
        <v>1</v>
      </c>
      <c r="D17" s="56">
        <f>D16+Habitat!$C$16</f>
        <v>140</v>
      </c>
      <c r="E17" s="48">
        <f t="shared" si="6"/>
        <v>-96</v>
      </c>
      <c r="F17" s="7">
        <f>Habitat!$D$13*D17</f>
        <v>3.92</v>
      </c>
      <c r="G17" s="7">
        <f t="shared" si="7"/>
        <v>0.39999999999999997</v>
      </c>
      <c r="H17" s="3">
        <f t="shared" si="8"/>
        <v>96.332756630338366</v>
      </c>
      <c r="I17" s="3">
        <f t="shared" si="0"/>
        <v>-963.32756630338372</v>
      </c>
      <c r="J17" s="3">
        <f t="shared" si="9"/>
        <v>-960</v>
      </c>
      <c r="K17" s="3">
        <f t="shared" si="1"/>
        <v>1926.6551326067674</v>
      </c>
      <c r="L17" s="7">
        <f t="shared" si="2"/>
        <v>1</v>
      </c>
      <c r="M17" s="8">
        <f t="shared" si="3"/>
        <v>29153.979825313279</v>
      </c>
      <c r="N17" s="48">
        <f>IF(C17=1,M17*Habitat!$I$27,0)+IF(C17=2,M17*Habitat!$J$27,0)+IF(C17=3,M17*Habitat!$K$27,0)+IF(C17=4,M17*Habitat!$L$27,0)+IF(C17=5,M17*Habitat!$M$27,0)</f>
        <v>26238.58184278195</v>
      </c>
      <c r="O17" s="48">
        <f>IF(C17=1,M17*Habitat!$I$26,0)+IF(C17=2,M17*Habitat!$J$26,0)+IF(C17=3,M17*Habitat!$K$26,0)+IF(C17=4,M17*Habitat!$L$26,0)+IF(C17=5,M17*Habitat!$M$26,0)</f>
        <v>0</v>
      </c>
      <c r="P17" s="48">
        <f>IF(C17=1,M17*Habitat!$I$25,0)+IF(C17=2,M17*Habitat!$J$25,0)+IF(C17=3,M17*Habitat!$K$25,0)+IF(C17=4,M17*Habitat!$L$25,0)+IF(C17=5,M17*Habitat!$M$25,0)+IF(C17=6,M17*Habitat!$N$25,0)</f>
        <v>0</v>
      </c>
      <c r="Q17" s="48">
        <f>IF(C17=1,M17*Habitat!$I$28,0)+IF(C17=2,M17*Habitat!$J$28,0)+IF(C17=3,M17*Habitat!$K$28,0)+IF(C17=4,M17*Habitat!$L$28,0)+IF(C17=5,M17*Habitat!$M$28,0)</f>
        <v>291.5397982531328</v>
      </c>
      <c r="R17" s="48">
        <f>IF(C17=1,M17*Habitat!$I$29,0)+IF(C17=2,M17*Habitat!$J$29,0)+IF(C17=3,M17*Habitat!$K$29,0)+IF(C17=4,M17*Habitat!$L$29,0)+IF(C17=5,M17*Habitat!$M$29,0)*IF(C17=7,M17*Habitat!$O$29,0)</f>
        <v>0</v>
      </c>
      <c r="S17">
        <f>IF(C17=1,M17*Habitat!$I$30,0)+IF(C17=2,M17*Habitat!$J$30,0)+IF(C17=3,M17*Habitat!$K$30,0)+IF(C17=4,M17*Habitat!$L$30,0)+IF(C17=5,M17*Habitat!$M$30,0)</f>
        <v>291.5397982531328</v>
      </c>
    </row>
    <row r="18" spans="1:20">
      <c r="A18" s="5">
        <f t="shared" si="4"/>
        <v>8</v>
      </c>
      <c r="B18" s="5">
        <f t="shared" si="5"/>
        <v>222</v>
      </c>
      <c r="C18" s="5">
        <v>1</v>
      </c>
      <c r="D18" s="56">
        <f>D17+Habitat!$C$16</f>
        <v>145</v>
      </c>
      <c r="E18" s="48">
        <f t="shared" si="6"/>
        <v>-91</v>
      </c>
      <c r="F18" s="7">
        <f>Habitat!$D$13*D18</f>
        <v>4.0600000000000005</v>
      </c>
      <c r="G18" s="7">
        <f t="shared" si="7"/>
        <v>0.41428571428571431</v>
      </c>
      <c r="H18" s="3">
        <f t="shared" si="8"/>
        <v>101.0692831675381</v>
      </c>
      <c r="I18" s="3">
        <f t="shared" si="0"/>
        <v>-1010.6928316753811</v>
      </c>
      <c r="J18" s="3">
        <f t="shared" si="9"/>
        <v>-910</v>
      </c>
      <c r="K18" s="3">
        <f t="shared" si="1"/>
        <v>2021.3856633507621</v>
      </c>
      <c r="L18" s="7">
        <f t="shared" si="2"/>
        <v>1</v>
      </c>
      <c r="M18" s="8">
        <f t="shared" si="3"/>
        <v>32091.368956419741</v>
      </c>
      <c r="N18" s="48">
        <f>IF(C18=1,M18*Habitat!$I$27,0)+IF(C18=2,M18*Habitat!$J$27,0)+IF(C18=3,M18*Habitat!$K$27,0)+IF(C18=4,M18*Habitat!$L$27,0)+IF(C18=5,M18*Habitat!$M$27,0)</f>
        <v>28882.232060777769</v>
      </c>
      <c r="O18" s="48">
        <f>IF(C18=1,M18*Habitat!$I$26,0)+IF(C18=2,M18*Habitat!$J$26,0)+IF(C18=3,M18*Habitat!$K$26,0)+IF(C18=4,M18*Habitat!$L$26,0)+IF(C18=5,M18*Habitat!$M$26,0)</f>
        <v>0</v>
      </c>
      <c r="P18" s="48">
        <f>IF(C18=1,M18*Habitat!$I$25,0)+IF(C18=2,M18*Habitat!$J$25,0)+IF(C18=3,M18*Habitat!$K$25,0)+IF(C18=4,M18*Habitat!$L$25,0)+IF(C18=5,M18*Habitat!$M$25,0)+IF(C18=6,M18*Habitat!$N$25,0)</f>
        <v>0</v>
      </c>
      <c r="Q18" s="48">
        <f>IF(C18=1,M18*Habitat!$I$28,0)+IF(C18=2,M18*Habitat!$J$28,0)+IF(C18=3,M18*Habitat!$K$28,0)+IF(C18=4,M18*Habitat!$L$28,0)+IF(C18=5,M18*Habitat!$M$28,0)</f>
        <v>320.9136895641974</v>
      </c>
      <c r="R18" s="48">
        <f>IF(C18=1,M18*Habitat!$I$29,0)+IF(C18=2,M18*Habitat!$J$29,0)+IF(C18=3,M18*Habitat!$K$29,0)+IF(C18=4,M18*Habitat!$L$29,0)+IF(C18=5,M18*Habitat!$M$29,0)*IF(C18=7,M18*Habitat!$O$29,0)</f>
        <v>0</v>
      </c>
      <c r="S18">
        <f>IF(C18=1,M18*Habitat!$I$30,0)+IF(C18=2,M18*Habitat!$J$30,0)+IF(C18=3,M18*Habitat!$K$30,0)+IF(C18=4,M18*Habitat!$L$30,0)+IF(C18=5,M18*Habitat!$M$30,0)</f>
        <v>320.9136895641974</v>
      </c>
    </row>
    <row r="19" spans="1:20">
      <c r="A19" s="5">
        <f t="shared" si="4"/>
        <v>9</v>
      </c>
      <c r="B19" s="5">
        <f t="shared" si="5"/>
        <v>217</v>
      </c>
      <c r="C19" s="5">
        <v>1</v>
      </c>
      <c r="D19" s="56">
        <f>D18+Habitat!$C$16</f>
        <v>150</v>
      </c>
      <c r="E19" s="48">
        <f t="shared" si="6"/>
        <v>-86</v>
      </c>
      <c r="F19" s="7">
        <f>Habitat!$D$13*D19</f>
        <v>4.2</v>
      </c>
      <c r="G19" s="7">
        <f t="shared" si="7"/>
        <v>0.42857142857142855</v>
      </c>
      <c r="H19" s="3">
        <f t="shared" si="8"/>
        <v>105.35653752852738</v>
      </c>
      <c r="I19" s="3">
        <f t="shared" si="0"/>
        <v>-1053.5653752852738</v>
      </c>
      <c r="J19" s="3">
        <f t="shared" si="9"/>
        <v>-860</v>
      </c>
      <c r="K19" s="3">
        <f t="shared" si="1"/>
        <v>2107.1307505705477</v>
      </c>
      <c r="L19" s="7">
        <f t="shared" si="2"/>
        <v>1</v>
      </c>
      <c r="M19" s="8">
        <f t="shared" si="3"/>
        <v>34871.678454846704</v>
      </c>
      <c r="N19" s="48">
        <f>IF(C19=1,M19*Habitat!$I$27,0)+IF(C19=2,M19*Habitat!$J$27,0)+IF(C19=3,M19*Habitat!$K$27,0)+IF(C19=4,M19*Habitat!$L$27,0)+IF(C19=5,M19*Habitat!$M$27,0)</f>
        <v>31384.510609362034</v>
      </c>
      <c r="O19" s="48">
        <f>IF(C19=1,M19*Habitat!$I$26,0)+IF(C19=2,M19*Habitat!$J$26,0)+IF(C19=3,M19*Habitat!$K$26,0)+IF(C19=4,M19*Habitat!$L$26,0)+IF(C19=5,M19*Habitat!$M$26,0)</f>
        <v>0</v>
      </c>
      <c r="P19" s="48">
        <f>IF(C19=1,M19*Habitat!$I$25,0)+IF(C19=2,M19*Habitat!$J$25,0)+IF(C19=3,M19*Habitat!$K$25,0)+IF(C19=4,M19*Habitat!$L$25,0)+IF(C19=5,M19*Habitat!$M$25,0)+IF(C19=6,M19*Habitat!$N$25,0)</f>
        <v>0</v>
      </c>
      <c r="Q19" s="48">
        <f>IF(C19=1,M19*Habitat!$I$28,0)+IF(C19=2,M19*Habitat!$J$28,0)+IF(C19=3,M19*Habitat!$K$28,0)+IF(C19=4,M19*Habitat!$L$28,0)+IF(C19=5,M19*Habitat!$M$28,0)</f>
        <v>348.71678454846705</v>
      </c>
      <c r="R19" s="48">
        <f>IF(C19=1,M19*Habitat!$I$29,0)+IF(C19=2,M19*Habitat!$J$29,0)+IF(C19=3,M19*Habitat!$K$29,0)+IF(C19=4,M19*Habitat!$L$29,0)+IF(C19=5,M19*Habitat!$M$29,0)*IF(C19=7,M19*Habitat!$O$29,0)</f>
        <v>0</v>
      </c>
      <c r="S19">
        <f>IF(C19=1,M19*Habitat!$I$30,0)+IF(C19=2,M19*Habitat!$J$30,0)+IF(C19=3,M19*Habitat!$K$30,0)+IF(C19=4,M19*Habitat!$L$30,0)+IF(C19=5,M19*Habitat!$M$30,0)</f>
        <v>348.71678454846705</v>
      </c>
    </row>
    <row r="20" spans="1:20">
      <c r="A20" s="5">
        <f t="shared" si="4"/>
        <v>10</v>
      </c>
      <c r="B20" s="5">
        <f t="shared" si="5"/>
        <v>212</v>
      </c>
      <c r="C20" s="5">
        <v>1</v>
      </c>
      <c r="D20" s="56">
        <f>D19+Habitat!$C$16</f>
        <v>155</v>
      </c>
      <c r="E20" s="48">
        <f t="shared" si="6"/>
        <v>-81</v>
      </c>
      <c r="F20" s="7">
        <f>Habitat!$D$13*D20</f>
        <v>4.34</v>
      </c>
      <c r="G20" s="7">
        <f t="shared" si="7"/>
        <v>0.44285714285714284</v>
      </c>
      <c r="H20" s="3">
        <f t="shared" si="8"/>
        <v>109.24742559895863</v>
      </c>
      <c r="I20" s="3">
        <f t="shared" si="0"/>
        <v>-1092.4742559895863</v>
      </c>
      <c r="J20" s="3">
        <f t="shared" si="9"/>
        <v>-810</v>
      </c>
      <c r="K20" s="3">
        <f t="shared" si="1"/>
        <v>2184.9485119791725</v>
      </c>
      <c r="L20" s="7">
        <f t="shared" si="2"/>
        <v>1</v>
      </c>
      <c r="M20" s="8">
        <f t="shared" si="3"/>
        <v>37494.908320594179</v>
      </c>
      <c r="N20" s="48">
        <f>IF(C20=1,M20*Habitat!$I$27,0)+IF(C20=2,M20*Habitat!$J$27,0)+IF(C20=3,M20*Habitat!$K$27,0)+IF(C20=4,M20*Habitat!$L$27,0)+IF(C20=5,M20*Habitat!$M$27,0)</f>
        <v>33745.41748853476</v>
      </c>
      <c r="O20" s="48">
        <f>IF(C20=1,M20*Habitat!$I$26,0)+IF(C20=2,M20*Habitat!$J$26,0)+IF(C20=3,M20*Habitat!$K$26,0)+IF(C20=4,M20*Habitat!$L$26,0)+IF(C20=5,M20*Habitat!$M$26,0)</f>
        <v>0</v>
      </c>
      <c r="P20" s="48">
        <f>IF(C20=1,M20*Habitat!$I$25,0)+IF(C20=2,M20*Habitat!$J$25,0)+IF(C20=3,M20*Habitat!$K$25,0)+IF(C20=4,M20*Habitat!$L$25,0)+IF(C20=5,M20*Habitat!$M$25,0)+IF(C20=6,M20*Habitat!$N$25,0)</f>
        <v>0</v>
      </c>
      <c r="Q20" s="48">
        <f>IF(C20=1,M20*Habitat!$I$28,0)+IF(C20=2,M20*Habitat!$J$28,0)+IF(C20=3,M20*Habitat!$K$28,0)+IF(C20=4,M20*Habitat!$L$28,0)+IF(C20=5,M20*Habitat!$M$28,0)</f>
        <v>374.9490832059418</v>
      </c>
      <c r="R20" s="48">
        <f>IF(C20=1,M20*Habitat!$I$29,0)+IF(C20=2,M20*Habitat!$J$29,0)+IF(C20=3,M20*Habitat!$K$29,0)+IF(C20=4,M20*Habitat!$L$29,0)+IF(C20=5,M20*Habitat!$M$29,0)*IF(C20=7,M20*Habitat!$O$29,0)</f>
        <v>0</v>
      </c>
      <c r="S20">
        <f>IF(C20=1,M20*Habitat!$I$30,0)+IF(C20=2,M20*Habitat!$J$30,0)+IF(C20=3,M20*Habitat!$K$30,0)+IF(C20=4,M20*Habitat!$L$30,0)+IF(C20=5,M20*Habitat!$M$30,0)</f>
        <v>374.9490832059418</v>
      </c>
    </row>
    <row r="21" spans="1:20">
      <c r="A21" s="5">
        <f t="shared" si="4"/>
        <v>11</v>
      </c>
      <c r="B21" s="5">
        <f t="shared" si="5"/>
        <v>207</v>
      </c>
      <c r="C21" s="5">
        <v>1</v>
      </c>
      <c r="D21" s="56">
        <f>D20+Habitat!$C$16</f>
        <v>160</v>
      </c>
      <c r="E21" s="48">
        <f t="shared" si="6"/>
        <v>-76</v>
      </c>
      <c r="F21" s="7">
        <f>Habitat!$D$13*D21</f>
        <v>4.4800000000000004</v>
      </c>
      <c r="G21" s="7">
        <f t="shared" si="7"/>
        <v>0.45714285714285713</v>
      </c>
      <c r="H21" s="3">
        <f t="shared" si="8"/>
        <v>112.78297743897348</v>
      </c>
      <c r="I21" s="3">
        <f t="shared" si="0"/>
        <v>-1127.8297743897347</v>
      </c>
      <c r="J21" s="3">
        <f t="shared" si="9"/>
        <v>-760</v>
      </c>
      <c r="K21" s="3">
        <f t="shared" si="1"/>
        <v>2255.6595487794693</v>
      </c>
      <c r="L21" s="7">
        <f t="shared" si="2"/>
        <v>1</v>
      </c>
      <c r="M21" s="8">
        <f t="shared" si="3"/>
        <v>39961.058553662166</v>
      </c>
      <c r="N21" s="48">
        <f>IF(C21=1,M21*Habitat!$I$27,0)+IF(C21=2,M21*Habitat!$J$27,0)+IF(C21=3,M21*Habitat!$K$27,0)+IF(C21=4,M21*Habitat!$L$27,0)+IF(C21=5,M21*Habitat!$M$27,0)</f>
        <v>35964.952698295951</v>
      </c>
      <c r="O21" s="48">
        <f>IF(C21=1,M21*Habitat!$I$26,0)+IF(C21=2,M21*Habitat!$J$26,0)+IF(C21=3,M21*Habitat!$K$26,0)+IF(C21=4,M21*Habitat!$L$26,0)+IF(C21=5,M21*Habitat!$M$26,0)</f>
        <v>0</v>
      </c>
      <c r="P21" s="48">
        <f>IF(C21=1,M21*Habitat!$I$25,0)+IF(C21=2,M21*Habitat!$J$25,0)+IF(C21=3,M21*Habitat!$K$25,0)+IF(C21=4,M21*Habitat!$L$25,0)+IF(C21=5,M21*Habitat!$M$25,0)+IF(C21=6,M21*Habitat!$N$25,0)</f>
        <v>0</v>
      </c>
      <c r="Q21" s="48">
        <f>IF(C21=1,M21*Habitat!$I$28,0)+IF(C21=2,M21*Habitat!$J$28,0)+IF(C21=3,M21*Habitat!$K$28,0)+IF(C21=4,M21*Habitat!$L$28,0)+IF(C21=5,M21*Habitat!$M$28,0)</f>
        <v>399.61058553662167</v>
      </c>
      <c r="R21" s="48">
        <f>IF(C21=1,M21*Habitat!$I$29,0)+IF(C21=2,M21*Habitat!$J$29,0)+IF(C21=3,M21*Habitat!$K$29,0)+IF(C21=4,M21*Habitat!$L$29,0)+IF(C21=5,M21*Habitat!$M$29,0)*IF(C21=7,M21*Habitat!$O$29,0)</f>
        <v>0</v>
      </c>
      <c r="S21">
        <f>IF(C21=1,M21*Habitat!$I$30,0)+IF(C21=2,M21*Habitat!$J$30,0)+IF(C21=3,M21*Habitat!$K$30,0)+IF(C21=4,M21*Habitat!$L$30,0)+IF(C21=5,M21*Habitat!$M$30,0)</f>
        <v>399.61058553662167</v>
      </c>
    </row>
    <row r="22" spans="1:20">
      <c r="A22" s="5">
        <f t="shared" si="4"/>
        <v>12</v>
      </c>
      <c r="B22" s="5">
        <f t="shared" si="5"/>
        <v>202</v>
      </c>
      <c r="C22" s="5">
        <v>1</v>
      </c>
      <c r="D22" s="56">
        <f>D21+Habitat!$C$16</f>
        <v>165</v>
      </c>
      <c r="E22" s="48">
        <f t="shared" si="6"/>
        <v>-71</v>
      </c>
      <c r="F22" s="7">
        <f>Habitat!$D$13*D22</f>
        <v>4.62</v>
      </c>
      <c r="G22" s="7">
        <f t="shared" si="7"/>
        <v>0.47142857142857142</v>
      </c>
      <c r="H22" s="3">
        <f t="shared" si="8"/>
        <v>115.99568957508723</v>
      </c>
      <c r="I22" s="3">
        <f t="shared" si="0"/>
        <v>-1159.9568957508723</v>
      </c>
      <c r="J22" s="3">
        <f t="shared" si="9"/>
        <v>-710</v>
      </c>
      <c r="K22" s="3">
        <f t="shared" si="1"/>
        <v>2319.9137915017445</v>
      </c>
      <c r="L22" s="7">
        <f t="shared" si="2"/>
        <v>1</v>
      </c>
      <c r="M22" s="8">
        <f t="shared" si="3"/>
        <v>42270.129154050665</v>
      </c>
      <c r="N22" s="48">
        <f>IF(C22=1,M22*Habitat!$I$27,0)+IF(C22=2,M22*Habitat!$J$27,0)+IF(C22=3,M22*Habitat!$K$27,0)+IF(C22=4,M22*Habitat!$L$27,0)+IF(C22=5,M22*Habitat!$M$27,0)</f>
        <v>38043.116238645598</v>
      </c>
      <c r="O22" s="48">
        <f>IF(C22=1,M22*Habitat!$I$26,0)+IF(C22=2,M22*Habitat!$J$26,0)+IF(C22=3,M22*Habitat!$K$26,0)+IF(C22=4,M22*Habitat!$L$26,0)+IF(C22=5,M22*Habitat!$M$26,0)</f>
        <v>0</v>
      </c>
      <c r="P22" s="48">
        <f>IF(C22=1,M22*Habitat!$I$25,0)+IF(C22=2,M22*Habitat!$J$25,0)+IF(C22=3,M22*Habitat!$K$25,0)+IF(C22=4,M22*Habitat!$L$25,0)+IF(C22=5,M22*Habitat!$M$25,0)+IF(C22=6,M22*Habitat!$N$25,0)</f>
        <v>0</v>
      </c>
      <c r="Q22" s="48">
        <f>IF(C22=1,M22*Habitat!$I$28,0)+IF(C22=2,M22*Habitat!$J$28,0)+IF(C22=3,M22*Habitat!$K$28,0)+IF(C22=4,M22*Habitat!$L$28,0)+IF(C22=5,M22*Habitat!$M$28,0)</f>
        <v>422.70129154050665</v>
      </c>
      <c r="R22" s="48">
        <f>IF(C22=1,M22*Habitat!$I$29,0)+IF(C22=2,M22*Habitat!$J$29,0)+IF(C22=3,M22*Habitat!$K$29,0)+IF(C22=4,M22*Habitat!$L$29,0)+IF(C22=5,M22*Habitat!$M$29,0)*IF(C22=7,M22*Habitat!$O$29,0)</f>
        <v>0</v>
      </c>
      <c r="S22">
        <f>IF(C22=1,M22*Habitat!$I$30,0)+IF(C22=2,M22*Habitat!$J$30,0)+IF(C22=3,M22*Habitat!$K$30,0)+IF(C22=4,M22*Habitat!$L$30,0)+IF(C22=5,M22*Habitat!$M$30,0)</f>
        <v>422.70129154050665</v>
      </c>
    </row>
    <row r="23" spans="1:20" ht="16" customHeight="1">
      <c r="A23" s="5">
        <f t="shared" si="4"/>
        <v>13</v>
      </c>
      <c r="B23" s="5">
        <f t="shared" si="5"/>
        <v>197</v>
      </c>
      <c r="C23" s="5">
        <v>1</v>
      </c>
      <c r="D23" s="56">
        <f>D22+Habitat!$C$16</f>
        <v>170</v>
      </c>
      <c r="E23" s="48">
        <f t="shared" si="6"/>
        <v>-66</v>
      </c>
      <c r="F23" s="7">
        <f>Habitat!$D$13*D23</f>
        <v>4.76</v>
      </c>
      <c r="G23" s="7">
        <f t="shared" si="7"/>
        <v>0.48571428571428565</v>
      </c>
      <c r="H23" s="3">
        <f t="shared" si="8"/>
        <v>118.91173196955799</v>
      </c>
      <c r="I23" s="3">
        <f t="shared" si="0"/>
        <v>-1189.1173196955799</v>
      </c>
      <c r="J23" s="3">
        <f t="shared" si="9"/>
        <v>-660</v>
      </c>
      <c r="K23" s="3">
        <f t="shared" si="1"/>
        <v>2378.2346393911598</v>
      </c>
      <c r="L23" s="7">
        <f t="shared" si="2"/>
        <v>1</v>
      </c>
      <c r="M23" s="8">
        <f t="shared" si="3"/>
        <v>44422.120121759675</v>
      </c>
      <c r="N23" s="48">
        <f>IF(C23=1,M23*Habitat!$I$27,0)+IF(C23=2,M23*Habitat!$J$27,0)+IF(C23=3,M23*Habitat!$K$27,0)+IF(C23=4,M23*Habitat!$L$27,0)+IF(C23=5,M23*Habitat!$M$27,0)</f>
        <v>39979.90810958371</v>
      </c>
      <c r="O23" s="48">
        <f>IF(C23=1,M23*Habitat!$I$26,0)+IF(C23=2,M23*Habitat!$J$26,0)+IF(C23=3,M23*Habitat!$K$26,0)+IF(C23=4,M23*Habitat!$L$26,0)+IF(C23=5,M23*Habitat!$M$26,0)</f>
        <v>0</v>
      </c>
      <c r="P23" s="48">
        <f>IF(C23=1,M23*Habitat!$I$25,0)+IF(C23=2,M23*Habitat!$J$25,0)+IF(C23=3,M23*Habitat!$K$25,0)+IF(C23=4,M23*Habitat!$L$25,0)+IF(C23=5,M23*Habitat!$M$25,0)+IF(C23=6,M23*Habitat!$N$25,0)</f>
        <v>0</v>
      </c>
      <c r="Q23" s="48">
        <f>IF(C23=1,M23*Habitat!$I$28,0)+IF(C23=2,M23*Habitat!$J$28,0)+IF(C23=3,M23*Habitat!$K$28,0)+IF(C23=4,M23*Habitat!$L$28,0)+IF(C23=5,M23*Habitat!$M$28,0)</f>
        <v>444.22120121759679</v>
      </c>
      <c r="R23" s="48">
        <f>IF(C23=1,M23*Habitat!$I$29,0)+IF(C23=2,M23*Habitat!$J$29,0)+IF(C23=3,M23*Habitat!$K$29,0)+IF(C23=4,M23*Habitat!$L$29,0)+IF(C23=5,M23*Habitat!$M$29,0)*IF(C23=7,M23*Habitat!$O$29,0)</f>
        <v>0</v>
      </c>
      <c r="S23">
        <f>IF(C23=1,M23*Habitat!$I$30,0)+IF(C23=2,M23*Habitat!$J$30,0)+IF(C23=3,M23*Habitat!$K$30,0)+IF(C23=4,M23*Habitat!$L$30,0)+IF(C23=5,M23*Habitat!$M$30,0)</f>
        <v>444.22120121759679</v>
      </c>
    </row>
    <row r="24" spans="1:20" ht="16" customHeight="1">
      <c r="A24" s="5">
        <f t="shared" si="4"/>
        <v>14</v>
      </c>
      <c r="B24" s="5">
        <f t="shared" si="5"/>
        <v>192</v>
      </c>
      <c r="C24" s="5">
        <v>1</v>
      </c>
      <c r="D24" s="56">
        <f>D23+Habitat!$C$16</f>
        <v>175</v>
      </c>
      <c r="E24" s="48">
        <f t="shared" si="6"/>
        <v>-61</v>
      </c>
      <c r="F24" s="7">
        <f>Habitat!$D$13*D24</f>
        <v>4.9000000000000004</v>
      </c>
      <c r="G24" s="7">
        <f t="shared" si="7"/>
        <v>0.5</v>
      </c>
      <c r="H24" s="3">
        <f t="shared" si="8"/>
        <v>121.55245781143218</v>
      </c>
      <c r="I24" s="3">
        <f t="shared" si="0"/>
        <v>-1215.5245781143217</v>
      </c>
      <c r="J24" s="3">
        <f t="shared" si="9"/>
        <v>-610</v>
      </c>
      <c r="K24" s="3">
        <f t="shared" si="1"/>
        <v>2431.0491562286434</v>
      </c>
      <c r="L24" s="7">
        <f t="shared" si="2"/>
        <v>1</v>
      </c>
      <c r="M24" s="8">
        <f t="shared" si="3"/>
        <v>46417.031456789191</v>
      </c>
      <c r="N24" s="48">
        <f>IF(C24=1,M24*Habitat!$I$27,0)+IF(C24=2,M24*Habitat!$J$27,0)+IF(C24=3,M24*Habitat!$K$27,0)+IF(C24=4,M24*Habitat!$L$27,0)+IF(C24=5,M24*Habitat!$M$27,0)</f>
        <v>41775.328311110272</v>
      </c>
      <c r="O24" s="48">
        <f>IF(C24=1,M24*Habitat!$I$26,0)+IF(C24=2,M24*Habitat!$J$26,0)+IF(C24=3,M24*Habitat!$K$26,0)+IF(C24=4,M24*Habitat!$L$26,0)+IF(C24=5,M24*Habitat!$M$26,0)</f>
        <v>0</v>
      </c>
      <c r="P24" s="48">
        <f>IF(C24=1,M24*Habitat!$I$25,0)+IF(C24=2,M24*Habitat!$J$25,0)+IF(C24=3,M24*Habitat!$K$25,0)+IF(C24=4,M24*Habitat!$L$25,0)+IF(C24=5,M24*Habitat!$M$25,0)+IF(C24=6,M24*Habitat!$N$25,0)</f>
        <v>0</v>
      </c>
      <c r="Q24" s="48">
        <f>IF(C24=1,M24*Habitat!$I$28,0)+IF(C24=2,M24*Habitat!$J$28,0)+IF(C24=3,M24*Habitat!$K$28,0)+IF(C24=4,M24*Habitat!$L$28,0)+IF(C24=5,M24*Habitat!$M$28,0)</f>
        <v>464.17031456789192</v>
      </c>
      <c r="R24" s="48">
        <f>IF(C24=1,M24*Habitat!$I$29,0)+IF(C24=2,M24*Habitat!$J$29,0)+IF(C24=3,M24*Habitat!$K$29,0)+IF(C24=4,M24*Habitat!$L$29,0)+IF(C24=5,M24*Habitat!$M$29,0)*IF(C24=7,M24*Habitat!$O$29,0)</f>
        <v>0</v>
      </c>
      <c r="S24">
        <f>IF(C24=1,M24*Habitat!$I$30,0)+IF(C24=2,M24*Habitat!$J$30,0)+IF(C24=3,M24*Habitat!$K$30,0)+IF(C24=4,M24*Habitat!$L$30,0)+IF(C24=5,M24*Habitat!$M$30,0)</f>
        <v>464.17031456789192</v>
      </c>
    </row>
    <row r="25" spans="1:20">
      <c r="A25" s="5">
        <f t="shared" si="4"/>
        <v>15</v>
      </c>
      <c r="B25" s="5">
        <f t="shared" si="5"/>
        <v>187</v>
      </c>
      <c r="C25" s="5">
        <v>1</v>
      </c>
      <c r="D25" s="56">
        <f>D24+Habitat!$C$16</f>
        <v>180</v>
      </c>
      <c r="E25" s="48">
        <f t="shared" si="6"/>
        <v>-56</v>
      </c>
      <c r="F25" s="7">
        <f>Habitat!$D$13*D25</f>
        <v>5.04</v>
      </c>
      <c r="G25" s="7">
        <f t="shared" si="7"/>
        <v>0.51428571428571423</v>
      </c>
      <c r="H25" s="3">
        <f t="shared" si="8"/>
        <v>123.93546707863734</v>
      </c>
      <c r="I25" s="3">
        <f t="shared" si="0"/>
        <v>-1239.3546707863734</v>
      </c>
      <c r="J25" s="3">
        <f t="shared" si="9"/>
        <v>-560</v>
      </c>
      <c r="K25" s="3">
        <f t="shared" si="1"/>
        <v>2478.7093415727468</v>
      </c>
      <c r="L25" s="7">
        <f t="shared" si="2"/>
        <v>1</v>
      </c>
      <c r="M25" s="8">
        <f t="shared" si="3"/>
        <v>48254.863159139226</v>
      </c>
      <c r="N25" s="48">
        <f>IF(C25=1,M25*Habitat!$I$27,0)+IF(C25=2,M25*Habitat!$J$27,0)+IF(C25=3,M25*Habitat!$K$27,0)+IF(C25=4,M25*Habitat!$L$27,0)+IF(C25=5,M25*Habitat!$M$27,0)</f>
        <v>43429.376843225305</v>
      </c>
      <c r="O25" s="48">
        <f>IF(C25=1,M25*Habitat!$I$26,0)+IF(C25=2,M25*Habitat!$J$26,0)+IF(C25=3,M25*Habitat!$K$26,0)+IF(C25=4,M25*Habitat!$L$26,0)+IF(C25=5,M25*Habitat!$M$26,0)</f>
        <v>0</v>
      </c>
      <c r="P25" s="48">
        <f>IF(C25=1,M25*Habitat!$I$25,0)+IF(C25=2,M25*Habitat!$J$25,0)+IF(C25=3,M25*Habitat!$K$25,0)+IF(C25=4,M25*Habitat!$L$25,0)+IF(C25=5,M25*Habitat!$M$25,0)+IF(C25=6,M25*Habitat!$N$25,0)</f>
        <v>0</v>
      </c>
      <c r="Q25" s="48">
        <f>IF(C25=1,M25*Habitat!$I$28,0)+IF(C25=2,M25*Habitat!$J$28,0)+IF(C25=3,M25*Habitat!$K$28,0)+IF(C25=4,M25*Habitat!$L$28,0)+IF(C25=5,M25*Habitat!$M$28,0)</f>
        <v>482.54863159139228</v>
      </c>
      <c r="R25" s="48">
        <f>IF(C25=1,M25*Habitat!$I$29,0)+IF(C25=2,M25*Habitat!$J$29,0)+IF(C25=3,M25*Habitat!$K$29,0)+IF(C25=4,M25*Habitat!$L$29,0)+IF(C25=5,M25*Habitat!$M$29,0)*IF(C25=7,M25*Habitat!$O$29,0)</f>
        <v>0</v>
      </c>
      <c r="S25">
        <f>IF(C25=1,M25*Habitat!$I$30,0)+IF(C25=2,M25*Habitat!$J$30,0)+IF(C25=3,M25*Habitat!$K$30,0)+IF(C25=4,M25*Habitat!$L$30,0)+IF(C25=5,M25*Habitat!$M$30,0)</f>
        <v>482.54863159139228</v>
      </c>
    </row>
    <row r="26" spans="1:20">
      <c r="A26" s="5">
        <f t="shared" si="4"/>
        <v>16</v>
      </c>
      <c r="B26" s="5">
        <f t="shared" si="5"/>
        <v>182</v>
      </c>
      <c r="C26" s="5">
        <v>1</v>
      </c>
      <c r="D26" s="56">
        <f>D25+Habitat!$C$16</f>
        <v>185</v>
      </c>
      <c r="E26" s="48">
        <f t="shared" si="6"/>
        <v>-51</v>
      </c>
      <c r="F26" s="7">
        <f>Habitat!$D$13*D26</f>
        <v>5.18</v>
      </c>
      <c r="G26" s="7">
        <f t="shared" si="7"/>
        <v>0.52857142857142847</v>
      </c>
      <c r="H26" s="3">
        <f t="shared" si="8"/>
        <v>126.07537428062626</v>
      </c>
      <c r="I26" s="3">
        <f t="shared" si="0"/>
        <v>-1260.7537428062626</v>
      </c>
      <c r="J26" s="3">
        <f t="shared" si="9"/>
        <v>-510</v>
      </c>
      <c r="K26" s="3">
        <f t="shared" si="1"/>
        <v>2521.5074856125252</v>
      </c>
      <c r="L26" s="7">
        <f t="shared" si="2"/>
        <v>1</v>
      </c>
      <c r="M26" s="8">
        <f t="shared" si="3"/>
        <v>49935.615228809758</v>
      </c>
      <c r="N26" s="48">
        <f>IF(C26=1,M26*Habitat!$I$27,0)+IF(C26=2,M26*Habitat!$J$27,0)+IF(C26=3,M26*Habitat!$K$27,0)+IF(C26=4,M26*Habitat!$L$27,0)+IF(C26=5,M26*Habitat!$M$27,0)</f>
        <v>44942.053705928782</v>
      </c>
      <c r="O26" s="48">
        <f>IF(C26=1,M26*Habitat!$I$26,0)+IF(C26=2,M26*Habitat!$J$26,0)+IF(C26=3,M26*Habitat!$K$26,0)+IF(C26=4,M26*Habitat!$L$26,0)+IF(C26=5,M26*Habitat!$M$26,0)</f>
        <v>0</v>
      </c>
      <c r="P26" s="48">
        <f>IF(C26=1,M26*Habitat!$I$25,0)+IF(C26=2,M26*Habitat!$J$25,0)+IF(C26=3,M26*Habitat!$K$25,0)+IF(C26=4,M26*Habitat!$L$25,0)+IF(C26=5,M26*Habitat!$M$25,0)+IF(C26=6,M26*Habitat!$N$25,0)</f>
        <v>0</v>
      </c>
      <c r="Q26" s="48">
        <f>IF(C26=1,M26*Habitat!$I$28,0)+IF(C26=2,M26*Habitat!$J$28,0)+IF(C26=3,M26*Habitat!$K$28,0)+IF(C26=4,M26*Habitat!$L$28,0)+IF(C26=5,M26*Habitat!$M$28,0)</f>
        <v>499.35615228809758</v>
      </c>
      <c r="R26" s="48">
        <f>IF(C26=1,M26*Habitat!$I$29,0)+IF(C26=2,M26*Habitat!$J$29,0)+IF(C26=3,M26*Habitat!$K$29,0)+IF(C26=4,M26*Habitat!$L$29,0)+IF(C26=5,M26*Habitat!$M$29,0)*IF(C26=7,M26*Habitat!$O$29,0)</f>
        <v>0</v>
      </c>
      <c r="S26">
        <f>IF(C26=1,M26*Habitat!$I$30,0)+IF(C26=2,M26*Habitat!$J$30,0)+IF(C26=3,M26*Habitat!$K$30,0)+IF(C26=4,M26*Habitat!$L$30,0)+IF(C26=5,M26*Habitat!$M$30,0)</f>
        <v>499.35615228809758</v>
      </c>
    </row>
    <row r="27" spans="1:20">
      <c r="A27" s="5">
        <f t="shared" si="4"/>
        <v>17</v>
      </c>
      <c r="B27" s="5">
        <f t="shared" si="5"/>
        <v>177</v>
      </c>
      <c r="C27" s="5">
        <v>1</v>
      </c>
      <c r="D27" s="56">
        <f>D26+Habitat!$C$16</f>
        <v>190</v>
      </c>
      <c r="E27" s="48">
        <f t="shared" si="6"/>
        <v>-46</v>
      </c>
      <c r="F27" s="7">
        <f>Habitat!$D$13*D27</f>
        <v>5.32</v>
      </c>
      <c r="G27" s="7">
        <f t="shared" si="7"/>
        <v>0.54285714285714282</v>
      </c>
      <c r="H27" s="3">
        <f t="shared" si="8"/>
        <v>127.98437404620925</v>
      </c>
      <c r="I27" s="3">
        <f t="shared" si="0"/>
        <v>-1279.8437404620925</v>
      </c>
      <c r="J27" s="3">
        <f t="shared" si="9"/>
        <v>-460</v>
      </c>
      <c r="K27" s="3">
        <f t="shared" si="1"/>
        <v>2559.6874809241849</v>
      </c>
      <c r="L27" s="7">
        <f t="shared" si="2"/>
        <v>1</v>
      </c>
      <c r="M27" s="8">
        <f t="shared" si="3"/>
        <v>51459.28766580081</v>
      </c>
      <c r="N27" s="48">
        <f>IF(C27=1,M27*Habitat!$I$27,0)+IF(C27=2,M27*Habitat!$J$27,0)+IF(C27=3,M27*Habitat!$K$27,0)+IF(C27=4,M27*Habitat!$L$27,0)+IF(C27=5,M27*Habitat!$M$27,0)</f>
        <v>46313.35889922073</v>
      </c>
      <c r="O27" s="48">
        <f>IF(C27=1,M27*Habitat!$I$26,0)+IF(C27=2,M27*Habitat!$J$26,0)+IF(C27=3,M27*Habitat!$K$26,0)+IF(C27=4,M27*Habitat!$L$26,0)+IF(C27=5,M27*Habitat!$M$26,0)</f>
        <v>0</v>
      </c>
      <c r="P27" s="48">
        <f>IF(C27=1,M27*Habitat!$I$25,0)+IF(C27=2,M27*Habitat!$J$25,0)+IF(C27=3,M27*Habitat!$K$25,0)+IF(C27=4,M27*Habitat!$L$25,0)+IF(C27=5,M27*Habitat!$M$25,0)+IF(C27=6,M27*Habitat!$N$25,0)</f>
        <v>0</v>
      </c>
      <c r="Q27" s="48">
        <f>IF(C27=1,M27*Habitat!$I$28,0)+IF(C27=2,M27*Habitat!$J$28,0)+IF(C27=3,M27*Habitat!$K$28,0)+IF(C27=4,M27*Habitat!$L$28,0)+IF(C27=5,M27*Habitat!$M$28,0)</f>
        <v>514.59287665800809</v>
      </c>
      <c r="R27" s="48">
        <f>IF(C27=1,M27*Habitat!$I$29,0)+IF(C27=2,M27*Habitat!$J$29,0)+IF(C27=3,M27*Habitat!$K$29,0)+IF(C27=4,M27*Habitat!$L$29,0)+IF(C27=5,M27*Habitat!$M$29,0)*IF(C27=7,M27*Habitat!$O$29,0)</f>
        <v>0</v>
      </c>
      <c r="S27">
        <f>IF(C27=1,M27*Habitat!$I$30,0)+IF(C27=2,M27*Habitat!$J$30,0)+IF(C27=3,M27*Habitat!$K$30,0)+IF(C27=4,M27*Habitat!$L$30,0)+IF(C27=5,M27*Habitat!$M$30,0)</f>
        <v>514.59287665800809</v>
      </c>
    </row>
    <row r="28" spans="1:20">
      <c r="A28" s="5">
        <f t="shared" si="4"/>
        <v>18</v>
      </c>
      <c r="B28" s="5">
        <f t="shared" si="5"/>
        <v>172</v>
      </c>
      <c r="C28" s="5">
        <v>1</v>
      </c>
      <c r="D28" s="56">
        <f>D27+Habitat!$C$16</f>
        <v>195</v>
      </c>
      <c r="E28" s="48">
        <f t="shared" si="6"/>
        <v>-41</v>
      </c>
      <c r="F28" s="7">
        <f>Habitat!$D$13*D28</f>
        <v>5.46</v>
      </c>
      <c r="G28" s="7">
        <f t="shared" si="7"/>
        <v>0.55714285714285705</v>
      </c>
      <c r="H28" s="3">
        <f t="shared" si="8"/>
        <v>129.67266481413884</v>
      </c>
      <c r="I28" s="3">
        <f t="shared" si="0"/>
        <v>-1296.7266481413885</v>
      </c>
      <c r="J28" s="3">
        <f t="shared" si="9"/>
        <v>-410</v>
      </c>
      <c r="K28" s="3">
        <f t="shared" si="1"/>
        <v>2593.453296282777</v>
      </c>
      <c r="L28" s="7">
        <f t="shared" si="2"/>
        <v>1</v>
      </c>
      <c r="M28" s="8">
        <f t="shared" si="3"/>
        <v>52825.880470112374</v>
      </c>
      <c r="N28" s="48">
        <f>IF(C28=1,M28*Habitat!$I$27,0)+IF(C28=2,M28*Habitat!$J$27,0)+IF(C28=3,M28*Habitat!$K$27,0)+IF(C28=4,M28*Habitat!$L$27,0)+IF(C28=5,M28*Habitat!$M$27,0)</f>
        <v>47543.292423101135</v>
      </c>
      <c r="O28" s="48">
        <f>IF(C28=1,M28*Habitat!$I$26,0)+IF(C28=2,M28*Habitat!$J$26,0)+IF(C28=3,M28*Habitat!$K$26,0)+IF(C28=4,M28*Habitat!$L$26,0)+IF(C28=5,M28*Habitat!$M$26,0)</f>
        <v>0</v>
      </c>
      <c r="P28" s="48">
        <f>IF(C28=1,M28*Habitat!$I$25,0)+IF(C28=2,M28*Habitat!$J$25,0)+IF(C28=3,M28*Habitat!$K$25,0)+IF(C28=4,M28*Habitat!$L$25,0)+IF(C28=5,M28*Habitat!$M$25,0)+IF(C28=6,M28*Habitat!$N$25,0)</f>
        <v>0</v>
      </c>
      <c r="Q28" s="48">
        <f>IF(C28=1,M28*Habitat!$I$28,0)+IF(C28=2,M28*Habitat!$J$28,0)+IF(C28=3,M28*Habitat!$K$28,0)+IF(C28=4,M28*Habitat!$L$28,0)+IF(C28=5,M28*Habitat!$M$28,0)</f>
        <v>528.25880470112372</v>
      </c>
      <c r="R28" s="48">
        <f>IF(C28=1,M28*Habitat!$I$29,0)+IF(C28=2,M28*Habitat!$J$29,0)+IF(C28=3,M28*Habitat!$K$29,0)+IF(C28=4,M28*Habitat!$L$29,0)+IF(C28=5,M28*Habitat!$M$29,0)*IF(C28=7,M28*Habitat!$O$29,0)</f>
        <v>0</v>
      </c>
      <c r="S28">
        <f>IF(C28=1,M28*Habitat!$I$30,0)+IF(C28=2,M28*Habitat!$J$30,0)+IF(C28=3,M28*Habitat!$K$30,0)+IF(C28=4,M28*Habitat!$L$30,0)+IF(C28=5,M28*Habitat!$M$30,0)</f>
        <v>528.25880470112372</v>
      </c>
      <c r="T28" s="127"/>
    </row>
    <row r="29" spans="1:20">
      <c r="A29" s="5">
        <f t="shared" si="4"/>
        <v>19</v>
      </c>
      <c r="B29" s="5">
        <f t="shared" si="5"/>
        <v>157</v>
      </c>
      <c r="C29" s="5">
        <v>4</v>
      </c>
      <c r="D29" s="56">
        <f>D28+Habitat!$C$16*3</f>
        <v>210</v>
      </c>
      <c r="E29" s="48">
        <f t="shared" si="6"/>
        <v>-36</v>
      </c>
      <c r="F29" s="7">
        <f>Habitat!$D$13*D29</f>
        <v>5.88</v>
      </c>
      <c r="G29" s="7">
        <f t="shared" si="7"/>
        <v>0.6</v>
      </c>
      <c r="H29" s="3">
        <f t="shared" si="8"/>
        <v>131.14877048604001</v>
      </c>
      <c r="I29" s="3">
        <f t="shared" si="0"/>
        <v>-1311.4877048604001</v>
      </c>
      <c r="J29" s="3">
        <f t="shared" si="9"/>
        <v>-360</v>
      </c>
      <c r="K29" s="3">
        <f t="shared" si="1"/>
        <v>2622.9754097208001</v>
      </c>
      <c r="L29" s="7">
        <f t="shared" si="2"/>
        <v>1</v>
      </c>
      <c r="M29" s="8">
        <f t="shared" si="3"/>
        <v>54035.393641744435</v>
      </c>
      <c r="N29" s="48">
        <f>IF(C29=1,M29*Habitat!$I$27,0)+IF(C29=2,M29*Habitat!$J$27,0)+IF(C29=3,M29*Habitat!$K$27,0)+IF(C29=4,M29*Habitat!$L$27,0)+IF(C29=5,M29*Habitat!$M$27,0)</f>
        <v>19993.09564744544</v>
      </c>
      <c r="O29" s="48">
        <f>IF(C29=1,M29*Habitat!$I$26,0)+IF(C29=2,M29*Habitat!$J$26,0)+IF(C29=3,M29*Habitat!$K$26,0)+IF(C29=4,M29*Habitat!$L$26,0)+IF(C29=5,M29*Habitat!$M$26,0)</f>
        <v>0</v>
      </c>
      <c r="P29" s="48">
        <f>IF(C29=1,M29*Habitat!$I$25,0)+IF(C29=2,M29*Habitat!$J$25,0)+IF(C29=3,M29*Habitat!$K$25,0)+IF(C29=4,M29*Habitat!$L$25,0)+IF(C29=5,M29*Habitat!$M$25,0)+IF(C29=6,M29*Habitat!$N$25,0)</f>
        <v>27017.696820872217</v>
      </c>
      <c r="Q29" s="48">
        <f>IF(C29=1,M29*Habitat!$I$28,0)+IF(C29=2,M29*Habitat!$J$28,0)+IF(C29=3,M29*Habitat!$K$28,0)+IF(C29=4,M29*Habitat!$L$28,0)+IF(C29=5,M29*Habitat!$M$28,0)</f>
        <v>2701.769682087222</v>
      </c>
      <c r="R29" s="48">
        <f>IF(C29=1,M29*Habitat!$I$29,0)+IF(C29=2,M29*Habitat!$J$29,0)+IF(C29=3,M29*Habitat!$K$29,0)+IF(C29=4,M29*Habitat!$L$29,0)+IF(C29=5,M29*Habitat!$M$29,0)*IF(C29=7,M29*Habitat!$O$29,0)</f>
        <v>0</v>
      </c>
      <c r="S29">
        <f>IF(C29=1,M29*Habitat!$I$30,0)+IF(C29=2,M29*Habitat!$J$30,0)+IF(C29=3,M29*Habitat!$K$30,0)+IF(C29=4,M29*Habitat!$L$30,0)+IF(C29=5,M29*Habitat!$M$30,0)</f>
        <v>0</v>
      </c>
    </row>
    <row r="30" spans="1:20">
      <c r="A30" s="5">
        <f t="shared" si="4"/>
        <v>20</v>
      </c>
      <c r="B30" s="5">
        <f t="shared" si="5"/>
        <v>152</v>
      </c>
      <c r="C30" s="5">
        <v>2</v>
      </c>
      <c r="D30" s="56">
        <f>D29+Habitat!$C$16</f>
        <v>215</v>
      </c>
      <c r="E30" s="48">
        <f t="shared" si="6"/>
        <v>-21</v>
      </c>
      <c r="F30" s="7">
        <f>Habitat!$D$13*D30</f>
        <v>6.0200000000000005</v>
      </c>
      <c r="G30" s="7">
        <f t="shared" si="7"/>
        <v>0.61428571428571432</v>
      </c>
      <c r="H30" s="3">
        <f t="shared" si="8"/>
        <v>134.36889521016388</v>
      </c>
      <c r="I30" s="3">
        <f t="shared" si="0"/>
        <v>-1343.6889521016387</v>
      </c>
      <c r="J30" s="3">
        <f t="shared" si="9"/>
        <v>-210</v>
      </c>
      <c r="K30" s="3">
        <f t="shared" si="1"/>
        <v>2687.3779042032775</v>
      </c>
      <c r="L30" s="7">
        <f t="shared" si="2"/>
        <v>1</v>
      </c>
      <c r="M30" s="8">
        <f t="shared" si="3"/>
        <v>56721.455360563719</v>
      </c>
      <c r="N30" s="48">
        <f>IF(C30=1,M30*Habitat!$I$27,0)+IF(C30=2,M30*Habitat!$J$27,0)+IF(C30=3,M30*Habitat!$K$27,0)+IF(C30=4,M30*Habitat!$L$27,0)+IF(C30=5,M30*Habitat!$M$27,0)</f>
        <v>2268.8582144225488</v>
      </c>
      <c r="O30" s="48">
        <f>IF(C30=1,M30*Habitat!$I$26,0)+IF(C30=2,M30*Habitat!$J$26,0)+IF(C30=3,M30*Habitat!$K$26,0)+IF(C30=4,M30*Habitat!$L$26,0)+IF(C30=5,M30*Habitat!$M$26,0)</f>
        <v>38570.589645183332</v>
      </c>
      <c r="P30" s="48">
        <f>IF(C30=1,M30*Habitat!$I$25,0)+IF(C30=2,M30*Habitat!$J$25,0)+IF(C30=3,M30*Habitat!$K$25,0)+IF(C30=4,M30*Habitat!$L$25,0)+IF(C30=5,M30*Habitat!$M$25,0)+IF(C30=6,M30*Habitat!$N$25,0)</f>
        <v>8508.2183040845575</v>
      </c>
      <c r="Q30" s="48">
        <f>IF(C30=1,M30*Habitat!$I$28,0)+IF(C30=2,M30*Habitat!$J$28,0)+IF(C30=3,M30*Habitat!$K$28,0)+IF(C30=4,M30*Habitat!$L$28,0)+IF(C30=5,M30*Habitat!$M$28,0)</f>
        <v>2836.0727680281861</v>
      </c>
      <c r="R30" s="48">
        <f>IF(C30=1,M30*Habitat!$I$29,0)+IF(C30=2,M30*Habitat!$J$29,0)+IF(C30=3,M30*Habitat!$K$29,0)+IF(C30=4,M30*Habitat!$L$29,0)+IF(C30=5,M30*Habitat!$M$29,0)*IF(C30=7,M30*Habitat!$O$29,0)</f>
        <v>0</v>
      </c>
      <c r="S30">
        <f>IF(C30=1,M30*Habitat!$I$30,0)+IF(C30=2,M30*Habitat!$J$30,0)+IF(C30=3,M30*Habitat!$K$30,0)+IF(C30=4,M30*Habitat!$L$30,0)+IF(C30=5,M30*Habitat!$M$30,0)</f>
        <v>28.360727680281862</v>
      </c>
    </row>
    <row r="31" spans="1:20">
      <c r="A31" s="5">
        <f t="shared" si="4"/>
        <v>21</v>
      </c>
      <c r="B31" s="5">
        <f t="shared" si="5"/>
        <v>147</v>
      </c>
      <c r="C31" s="5">
        <v>2</v>
      </c>
      <c r="D31" s="56">
        <f>D30+Habitat!$C$16</f>
        <v>220</v>
      </c>
      <c r="E31" s="48">
        <f t="shared" si="6"/>
        <v>-16</v>
      </c>
      <c r="F31" s="7">
        <f>Habitat!$D$13*D31</f>
        <v>6.16</v>
      </c>
      <c r="G31" s="7">
        <f t="shared" si="7"/>
        <v>0.62857142857142856</v>
      </c>
      <c r="H31" s="3">
        <f t="shared" si="8"/>
        <v>135.05554412907307</v>
      </c>
      <c r="I31" s="3">
        <f t="shared" si="0"/>
        <v>-1350.5554412907306</v>
      </c>
      <c r="J31" s="3">
        <f t="shared" ref="J31:J43" si="10">(D30-$C$7)*10</f>
        <v>-160</v>
      </c>
      <c r="K31" s="3">
        <f t="shared" si="1"/>
        <v>2701.1108825814613</v>
      </c>
      <c r="L31" s="7">
        <f t="shared" si="2"/>
        <v>1</v>
      </c>
      <c r="M31" s="8">
        <f t="shared" si="3"/>
        <v>57302.650001477836</v>
      </c>
      <c r="N31" s="48">
        <f>IF(C31=1,M31*Habitat!$I$27,0)+IF(C31=2,M31*Habitat!$J$27,0)+IF(C31=3,M31*Habitat!$K$27,0)+IF(C31=4,M31*Habitat!$L$27,0)+IF(C31=5,M31*Habitat!$M$27,0)</f>
        <v>2292.1060000591133</v>
      </c>
      <c r="O31" s="48">
        <f>IF(C31=1,M31*Habitat!$I$26,0)+IF(C31=2,M31*Habitat!$J$26,0)+IF(C31=3,M31*Habitat!$K$26,0)+IF(C31=4,M31*Habitat!$L$26,0)+IF(C31=5,M31*Habitat!$M$26,0)</f>
        <v>38965.802001004929</v>
      </c>
      <c r="P31" s="48">
        <f>IF(C31=1,M31*Habitat!$I$25,0)+IF(C31=2,M31*Habitat!$J$25,0)+IF(C31=3,M31*Habitat!$K$25,0)+IF(C31=4,M31*Habitat!$L$25,0)+IF(C31=5,M31*Habitat!$M$25,0)+IF(C31=6,M31*Habitat!$N$25,0)</f>
        <v>8595.3975002216757</v>
      </c>
      <c r="Q31" s="48">
        <f>IF(C31=1,M31*Habitat!$I$28,0)+IF(C31=2,M31*Habitat!$J$28,0)+IF(C31=3,M31*Habitat!$K$28,0)+IF(C31=4,M31*Habitat!$L$28,0)+IF(C31=5,M31*Habitat!$M$28,0)</f>
        <v>2865.1325000738921</v>
      </c>
      <c r="R31" s="48">
        <f>IF(C31=1,M31*Habitat!$I$29,0)+IF(C31=2,M31*Habitat!$J$29,0)+IF(C31=3,M31*Habitat!$K$29,0)+IF(C31=4,M31*Habitat!$L$29,0)+IF(C31=5,M31*Habitat!$M$29,0)*IF(C31=7,M31*Habitat!$O$29,0)</f>
        <v>0</v>
      </c>
      <c r="S31">
        <f>IF(C31=1,M31*Habitat!$I$30,0)+IF(C31=2,M31*Habitat!$J$30,0)+IF(C31=3,M31*Habitat!$K$30,0)+IF(C31=4,M31*Habitat!$L$30,0)+IF(C31=5,M31*Habitat!$M$30,0)</f>
        <v>28.651325000738918</v>
      </c>
      <c r="T31" s="127"/>
    </row>
    <row r="32" spans="1:20">
      <c r="A32" s="5">
        <f t="shared" si="4"/>
        <v>22</v>
      </c>
      <c r="B32" s="5">
        <f t="shared" si="5"/>
        <v>142</v>
      </c>
      <c r="C32" s="5">
        <v>2</v>
      </c>
      <c r="D32" s="56">
        <f>D31+Habitat!$C$16</f>
        <v>225</v>
      </c>
      <c r="E32" s="48">
        <f t="shared" si="6"/>
        <v>-11</v>
      </c>
      <c r="F32" s="7">
        <f>Habitat!$D$13*D32</f>
        <v>6.3</v>
      </c>
      <c r="G32" s="7">
        <f t="shared" si="7"/>
        <v>0.64285714285714279</v>
      </c>
      <c r="H32" s="3">
        <f t="shared" si="8"/>
        <v>135.55441711725959</v>
      </c>
      <c r="I32" s="3">
        <f t="shared" si="0"/>
        <v>-1355.544171172596</v>
      </c>
      <c r="J32" s="3">
        <f t="shared" si="10"/>
        <v>-110</v>
      </c>
      <c r="K32" s="3">
        <f t="shared" si="1"/>
        <v>2711.0883423451919</v>
      </c>
      <c r="L32" s="7">
        <f t="shared" si="2"/>
        <v>1</v>
      </c>
      <c r="M32" s="8">
        <f t="shared" si="3"/>
        <v>57726.765009712442</v>
      </c>
      <c r="N32" s="48">
        <f>IF(C32=1,M32*Habitat!$I$27,0)+IF(C32=2,M32*Habitat!$J$27,0)+IF(C32=3,M32*Habitat!$K$27,0)+IF(C32=4,M32*Habitat!$L$27,0)+IF(C32=5,M32*Habitat!$M$27,0)</f>
        <v>2309.070600388498</v>
      </c>
      <c r="O32" s="48">
        <f>IF(C32=1,M32*Habitat!$I$26,0)+IF(C32=2,M32*Habitat!$J$26,0)+IF(C32=3,M32*Habitat!$K$26,0)+IF(C32=4,M32*Habitat!$L$26,0)+IF(C32=5,M32*Habitat!$M$26,0)</f>
        <v>39254.200206604466</v>
      </c>
      <c r="P32" s="48">
        <f>IF(C32=1,M32*Habitat!$I$25,0)+IF(C32=2,M32*Habitat!$J$25,0)+IF(C32=3,M32*Habitat!$K$25,0)+IF(C32=4,M32*Habitat!$L$25,0)+IF(C32=5,M32*Habitat!$M$25,0)+IF(C32=6,M32*Habitat!$N$25,0)</f>
        <v>8659.0147514568653</v>
      </c>
      <c r="Q32" s="48">
        <f>IF(C32=1,M32*Habitat!$I$28,0)+IF(C32=2,M32*Habitat!$J$28,0)+IF(C32=3,M32*Habitat!$K$28,0)+IF(C32=4,M32*Habitat!$L$28,0)+IF(C32=5,M32*Habitat!$M$28,0)</f>
        <v>2886.3382504856222</v>
      </c>
      <c r="R32" s="48">
        <f>IF(C32=1,M32*Habitat!$I$29,0)+IF(C32=2,M32*Habitat!$J$29,0)+IF(C32=3,M32*Habitat!$K$29,0)+IF(C32=4,M32*Habitat!$L$29,0)+IF(C32=5,M32*Habitat!$M$29,0)*IF(C32=7,M32*Habitat!$O$29,0)</f>
        <v>0</v>
      </c>
      <c r="S32">
        <f>IF(C32=1,M32*Habitat!$I$30,0)+IF(C32=2,M32*Habitat!$J$30,0)+IF(C32=3,M32*Habitat!$K$30,0)+IF(C32=4,M32*Habitat!$L$30,0)+IF(C32=5,M32*Habitat!$M$30,0)</f>
        <v>28.863382504856222</v>
      </c>
    </row>
    <row r="33" spans="1:19">
      <c r="A33" s="5">
        <f t="shared" si="4"/>
        <v>23</v>
      </c>
      <c r="B33" s="5">
        <f t="shared" si="5"/>
        <v>137</v>
      </c>
      <c r="C33" s="5">
        <v>5</v>
      </c>
      <c r="D33" s="56">
        <f>D32+Habitat!$C$16</f>
        <v>230</v>
      </c>
      <c r="E33" s="48">
        <f t="shared" si="6"/>
        <v>-6</v>
      </c>
      <c r="F33" s="7">
        <f>Habitat!$D$13*D33</f>
        <v>6.44</v>
      </c>
      <c r="G33" s="7">
        <f t="shared" si="7"/>
        <v>0.65714285714285714</v>
      </c>
      <c r="H33" s="3">
        <f t="shared" si="8"/>
        <v>135.86758259423033</v>
      </c>
      <c r="I33" s="3">
        <f t="shared" si="0"/>
        <v>-1358.6758259423032</v>
      </c>
      <c r="J33" s="3">
        <f t="shared" si="10"/>
        <v>-60</v>
      </c>
      <c r="K33" s="3">
        <f t="shared" si="1"/>
        <v>2717.3516518846063</v>
      </c>
      <c r="L33" s="7">
        <f t="shared" si="2"/>
        <v>1</v>
      </c>
      <c r="M33" s="8">
        <f t="shared" si="3"/>
        <v>57993.800385267576</v>
      </c>
      <c r="N33" s="48">
        <f>IF(C33=1,M33*Habitat!$I$27,0)+IF(C33=2,M33*Habitat!$J$27,0)+IF(C33=3,M33*Habitat!$K$27,0)+IF(C33=4,M33*Habitat!$L$27,0)+IF(C33=5,M33*Habitat!$M$27,0)</f>
        <v>12758.636084758868</v>
      </c>
      <c r="O33" s="48">
        <f>IF(C33=1,M33*Habitat!$I$26,0)+IF(C33=2,M33*Habitat!$J$26,0)+IF(C33=3,M33*Habitat!$K$26,0)+IF(C33=4,M33*Habitat!$L$26,0)+IF(C33=5,M33*Habitat!$M$26,0)</f>
        <v>0</v>
      </c>
      <c r="P33" s="48">
        <f>IF(C33=1,M33*Habitat!$I$25,0)+IF(C33=2,M33*Habitat!$J$25,0)+IF(C33=3,M33*Habitat!$K$25,0)+IF(C33=4,M33*Habitat!$L$25,0)+IF(C33=5,M33*Habitat!$M$25,0)+IF(C33=6,M33*Habitat!$N$25,0)</f>
        <v>5799.3800385267577</v>
      </c>
      <c r="Q33" s="48">
        <f>IF(C33=1,M33*Habitat!$I$28,0)+IF(C33=2,M33*Habitat!$J$28,0)+IF(C33=3,M33*Habitat!$K$28,0)+IF(C33=4,M33*Habitat!$L$28,0)+IF(C33=5,M33*Habitat!$M$28,0)</f>
        <v>34796.280231160541</v>
      </c>
      <c r="R33" s="48">
        <f>IF(C33=1,M33*Habitat!$I$29,0)+IF(C33=2,M33*Habitat!$J$29,0)+IF(C33=3,M33*Habitat!$K$29,0)+IF(C33=4,M33*Habitat!$L$29,0)+IF(C33=5,M33*Habitat!$M$29,0)*IF(C33=7,M33*Habitat!$O$29,0)</f>
        <v>0</v>
      </c>
      <c r="S33">
        <f>IF(C33=1,M33*Habitat!$I$30,0)+IF(C33=2,M33*Habitat!$J$30,0)+IF(C33=3,M33*Habitat!$K$30,0)+IF(C33=4,M33*Habitat!$L$30,0)+IF(C33=5,M33*Habitat!$M$30,0)</f>
        <v>0</v>
      </c>
    </row>
    <row r="34" spans="1:19">
      <c r="A34" s="5">
        <f t="shared" si="4"/>
        <v>24</v>
      </c>
      <c r="B34" s="5">
        <f t="shared" si="5"/>
        <v>132</v>
      </c>
      <c r="C34" s="5">
        <v>5</v>
      </c>
      <c r="D34" s="56">
        <f>D33+Habitat!$C$16</f>
        <v>235</v>
      </c>
      <c r="E34" s="48">
        <f t="shared" si="6"/>
        <v>4</v>
      </c>
      <c r="F34" s="7">
        <f>Habitat!$D$13*D34</f>
        <v>6.58</v>
      </c>
      <c r="G34" s="7">
        <f t="shared" si="7"/>
        <v>0.67142857142857137</v>
      </c>
      <c r="H34" s="3">
        <f t="shared" si="8"/>
        <v>135.94116374373144</v>
      </c>
      <c r="I34" s="3">
        <f t="shared" si="0"/>
        <v>-1359.4116374373143</v>
      </c>
      <c r="J34" s="3">
        <f t="shared" si="10"/>
        <v>-10</v>
      </c>
      <c r="K34" s="3">
        <f t="shared" si="1"/>
        <v>2718.8232748746286</v>
      </c>
      <c r="L34" s="7">
        <f t="shared" si="2"/>
        <v>1</v>
      </c>
      <c r="M34" s="8">
        <f t="shared" si="3"/>
        <v>58056.632238339385</v>
      </c>
      <c r="N34" s="48">
        <f>IF(C34=1,M34*Habitat!$I$27,0)+IF(C34=2,M34*Habitat!$J$27,0)+IF(C34=3,M34*Habitat!$K$27,0)+IF(C34=4,M34*Habitat!$L$27,0)+IF(C34=5,M34*Habitat!$M$27,0)</f>
        <v>12772.459092434665</v>
      </c>
      <c r="O34" s="48">
        <f>IF(C34=1,M34*Habitat!$I$26,0)+IF(C34=2,M34*Habitat!$J$26,0)+IF(C34=3,M34*Habitat!$K$26,0)+IF(C34=4,M34*Habitat!$L$26,0)+IF(C34=5,M34*Habitat!$M$26,0)</f>
        <v>0</v>
      </c>
      <c r="P34" s="48">
        <f>IF(C34=1,M34*Habitat!$I$25,0)+IF(C34=2,M34*Habitat!$J$25,0)+IF(C34=3,M34*Habitat!$K$25,0)+IF(C34=4,M34*Habitat!$L$25,0)+IF(C34=5,M34*Habitat!$M$25,0)+IF(C34=6,M34*Habitat!$N$25,0)</f>
        <v>5805.6632238339389</v>
      </c>
      <c r="Q34" s="48">
        <f>IF(C34=1,M34*Habitat!$I$28,0)+IF(C34=2,M34*Habitat!$J$28,0)+IF(C34=3,M34*Habitat!$K$28,0)+IF(C34=4,M34*Habitat!$L$28,0)+IF(C34=5,M34*Habitat!$M$28,0)</f>
        <v>34833.97934300363</v>
      </c>
      <c r="R34" s="48">
        <f>IF(C34=1,M34*Habitat!$I$29,0)+IF(C34=2,M34*Habitat!$J$29,0)+IF(C34=3,M34*Habitat!$K$29,0)+IF(C34=4,M34*Habitat!$L$29,0)+IF(C34=5,M34*Habitat!$M$29,0)*IF(C34=7,M34*Habitat!$O$29,0)</f>
        <v>0</v>
      </c>
      <c r="S34">
        <f>IF(C34=1,M34*Habitat!$I$30,0)+IF(C34=2,M34*Habitat!$J$30,0)+IF(C34=3,M34*Habitat!$K$30,0)+IF(C34=4,M34*Habitat!$L$30,0)+IF(C34=5,M34*Habitat!$M$30,0)</f>
        <v>0</v>
      </c>
    </row>
    <row r="35" spans="1:19">
      <c r="A35" s="5">
        <f t="shared" si="4"/>
        <v>25</v>
      </c>
      <c r="B35" s="5">
        <f t="shared" si="5"/>
        <v>127</v>
      </c>
      <c r="C35" s="5">
        <v>2</v>
      </c>
      <c r="D35" s="56">
        <f>D34+Habitat!$C$16</f>
        <v>240</v>
      </c>
      <c r="E35" s="48">
        <f t="shared" si="6"/>
        <v>9</v>
      </c>
      <c r="F35" s="7">
        <f>Habitat!$D$13*D35</f>
        <v>6.72</v>
      </c>
      <c r="G35" s="7">
        <f t="shared" si="7"/>
        <v>0.68571428571428561</v>
      </c>
      <c r="H35" s="3">
        <f t="shared" si="8"/>
        <v>135.70187913216236</v>
      </c>
      <c r="I35" s="3">
        <f t="shared" si="0"/>
        <v>-1357.0187913216237</v>
      </c>
      <c r="J35" s="3">
        <f t="shared" si="10"/>
        <v>40</v>
      </c>
      <c r="K35" s="3">
        <f t="shared" si="1"/>
        <v>2714.0375826432473</v>
      </c>
      <c r="L35" s="7">
        <f t="shared" si="2"/>
        <v>1</v>
      </c>
      <c r="M35" s="8">
        <f t="shared" si="3"/>
        <v>57852.428715856047</v>
      </c>
      <c r="N35" s="48">
        <f>IF(C35=1,M35*Habitat!$I$27,0)+IF(C35=2,M35*Habitat!$J$27,0)+IF(C35=3,M35*Habitat!$K$27,0)+IF(C35=4,M35*Habitat!$L$27,0)+IF(C35=5,M35*Habitat!$M$27,0)</f>
        <v>2314.0971486342419</v>
      </c>
      <c r="O35" s="48">
        <f>IF(C35=1,M35*Habitat!$I$26,0)+IF(C35=2,M35*Habitat!$J$26,0)+IF(C35=3,M35*Habitat!$K$26,0)+IF(C35=4,M35*Habitat!$L$26,0)+IF(C35=5,M35*Habitat!$M$26,0)</f>
        <v>39339.651526782116</v>
      </c>
      <c r="P35" s="48">
        <f>IF(C35=1,M35*Habitat!$I$25,0)+IF(C35=2,M35*Habitat!$J$25,0)+IF(C35=3,M35*Habitat!$K$25,0)+IF(C35=4,M35*Habitat!$L$25,0)+IF(C35=5,M35*Habitat!$M$25,0)+IF(C35=6,M35*Habitat!$N$25,0)</f>
        <v>8677.864307378406</v>
      </c>
      <c r="Q35" s="48">
        <f>IF(C35=1,M35*Habitat!$I$28,0)+IF(C35=2,M35*Habitat!$J$28,0)+IF(C35=3,M35*Habitat!$K$28,0)+IF(C35=4,M35*Habitat!$L$28,0)+IF(C35=5,M35*Habitat!$M$28,0)</f>
        <v>2892.6214357928025</v>
      </c>
      <c r="R35" s="48">
        <f>IF(C35=1,M35*Habitat!$I$29,0)+IF(C35=2,M35*Habitat!$J$29,0)+IF(C35=3,M35*Habitat!$K$29,0)+IF(C35=4,M35*Habitat!$L$29,0)+IF(C35=5,M35*Habitat!$M$29,0)*IF(C35=7,M35*Habitat!$O$29,0)</f>
        <v>0</v>
      </c>
      <c r="S35">
        <f>IF(C35=1,M35*Habitat!$I$30,0)+IF(C35=2,M35*Habitat!$J$30,0)+IF(C35=3,M35*Habitat!$K$30,0)+IF(C35=4,M35*Habitat!$L$30,0)+IF(C35=5,M35*Habitat!$M$30,0)</f>
        <v>28.926214357928025</v>
      </c>
    </row>
    <row r="36" spans="1:19">
      <c r="A36" s="5">
        <f t="shared" si="4"/>
        <v>26</v>
      </c>
      <c r="B36" s="5">
        <f t="shared" si="5"/>
        <v>122</v>
      </c>
      <c r="C36" s="5">
        <v>2</v>
      </c>
      <c r="D36" s="56">
        <f>D35+Habitat!$C$16</f>
        <v>245</v>
      </c>
      <c r="E36" s="48">
        <f t="shared" si="6"/>
        <v>14</v>
      </c>
      <c r="F36" s="7">
        <f>Habitat!$D$13*D36</f>
        <v>6.86</v>
      </c>
      <c r="G36" s="7">
        <f t="shared" si="7"/>
        <v>0.7</v>
      </c>
      <c r="H36" s="3">
        <f t="shared" si="8"/>
        <v>135.27749258468683</v>
      </c>
      <c r="I36" s="3">
        <f t="shared" si="0"/>
        <v>-1352.7749258468682</v>
      </c>
      <c r="J36" s="3">
        <f t="shared" si="10"/>
        <v>90</v>
      </c>
      <c r="K36" s="3">
        <f t="shared" si="1"/>
        <v>2705.5498516937364</v>
      </c>
      <c r="L36" s="7">
        <f t="shared" si="2"/>
        <v>1</v>
      </c>
      <c r="M36" s="8">
        <f t="shared" si="3"/>
        <v>57491.145560693214</v>
      </c>
      <c r="N36" s="48">
        <f>IF(C36=1,M36*Habitat!$I$27,0)+IF(C36=2,M36*Habitat!$J$27,0)+IF(C36=3,M36*Habitat!$K$27,0)+IF(C36=4,M36*Habitat!$L$27,0)+IF(C36=5,M36*Habitat!$M$27,0)</f>
        <v>2299.6458224277285</v>
      </c>
      <c r="O36" s="48">
        <f>IF(C36=1,M36*Habitat!$I$26,0)+IF(C36=2,M36*Habitat!$J$26,0)+IF(C36=3,M36*Habitat!$K$26,0)+IF(C36=4,M36*Habitat!$L$26,0)+IF(C36=5,M36*Habitat!$M$26,0)</f>
        <v>39093.978981271386</v>
      </c>
      <c r="P36" s="48">
        <f>IF(C36=1,M36*Habitat!$I$25,0)+IF(C36=2,M36*Habitat!$J$25,0)+IF(C36=3,M36*Habitat!$K$25,0)+IF(C36=4,M36*Habitat!$L$25,0)+IF(C36=5,M36*Habitat!$M$25,0)+IF(C36=6,M36*Habitat!$N$25,0)</f>
        <v>8623.6718341039814</v>
      </c>
      <c r="Q36" s="48">
        <f>IF(C36=1,M36*Habitat!$I$28,0)+IF(C36=2,M36*Habitat!$J$28,0)+IF(C36=3,M36*Habitat!$K$28,0)+IF(C36=4,M36*Habitat!$L$28,0)+IF(C36=5,M36*Habitat!$M$28,0)</f>
        <v>2874.5572780346611</v>
      </c>
      <c r="R36" s="48">
        <f>IF(C36=1,M36*Habitat!$I$29,0)+IF(C36=2,M36*Habitat!$J$29,0)+IF(C36=3,M36*Habitat!$K$29,0)+IF(C36=4,M36*Habitat!$L$29,0)+IF(C36=5,M36*Habitat!$M$29,0)*IF(C36=7,M36*Habitat!$O$29,0)</f>
        <v>0</v>
      </c>
      <c r="S36">
        <f>IF(C36=1,M36*Habitat!$I$30,0)+IF(C36=2,M36*Habitat!$J$30,0)+IF(C36=3,M36*Habitat!$K$30,0)+IF(C36=4,M36*Habitat!$L$30,0)+IF(C36=5,M36*Habitat!$M$30,0)</f>
        <v>28.745572780346606</v>
      </c>
    </row>
    <row r="37" spans="1:19">
      <c r="A37" s="5">
        <f t="shared" si="4"/>
        <v>27</v>
      </c>
      <c r="B37" s="5">
        <f t="shared" si="5"/>
        <v>107</v>
      </c>
      <c r="C37" s="5">
        <v>4</v>
      </c>
      <c r="D37" s="56">
        <f>D36+Habitat!$C$16*3</f>
        <v>260</v>
      </c>
      <c r="E37" s="48">
        <f t="shared" si="6"/>
        <v>29</v>
      </c>
      <c r="F37" s="7">
        <f>Habitat!$D$13*D37</f>
        <v>7.28</v>
      </c>
      <c r="G37" s="7">
        <f t="shared" si="7"/>
        <v>0.74285714285714288</v>
      </c>
      <c r="H37" s="3">
        <f t="shared" si="8"/>
        <v>132.87211897158861</v>
      </c>
      <c r="I37" s="3">
        <f t="shared" si="0"/>
        <v>-1328.7211897158861</v>
      </c>
      <c r="J37" s="3">
        <f t="shared" si="10"/>
        <v>140</v>
      </c>
      <c r="K37" s="3">
        <f t="shared" si="1"/>
        <v>2657.4423794317722</v>
      </c>
      <c r="L37" s="7">
        <f t="shared" si="2"/>
        <v>1</v>
      </c>
      <c r="M37" s="8">
        <f t="shared" si="3"/>
        <v>55464.818299127786</v>
      </c>
      <c r="N37" s="48">
        <f>IF(C37=1,M37*Habitat!$I$27,0)+IF(C37=2,M37*Habitat!$J$27,0)+IF(C37=3,M37*Habitat!$K$27,0)+IF(C37=4,M37*Habitat!$L$27,0)+IF(C37=5,M37*Habitat!$M$27,0)</f>
        <v>20521.982770677281</v>
      </c>
      <c r="O37" s="48">
        <f>IF(C37=1,M37*Habitat!$I$26,0)+IF(C37=2,M37*Habitat!$J$26,0)+IF(C37=3,M37*Habitat!$K$26,0)+IF(C37=4,M37*Habitat!$L$26,0)+IF(C37=5,M37*Habitat!$M$26,0)</f>
        <v>0</v>
      </c>
      <c r="P37" s="48">
        <f>IF(C37=1,M37*Habitat!$I$25,0)+IF(C37=2,M37*Habitat!$J$25,0)+IF(C37=3,M37*Habitat!$K$25,0)+IF(C37=4,M37*Habitat!$L$25,0)+IF(C37=5,M37*Habitat!$M$25,0)+IF(C37=6,M37*Habitat!$N$25,0)</f>
        <v>27732.409149563893</v>
      </c>
      <c r="Q37" s="48">
        <f>IF(C37=1,M37*Habitat!$I$28,0)+IF(C37=2,M37*Habitat!$J$28,0)+IF(C37=3,M37*Habitat!$K$28,0)+IF(C37=4,M37*Habitat!$L$28,0)+IF(C37=5,M37*Habitat!$M$28,0)</f>
        <v>2773.2409149563896</v>
      </c>
      <c r="R37" s="48">
        <f>IF(C37=1,M37*Habitat!$I$29,0)+IF(C37=2,M37*Habitat!$J$29,0)+IF(C37=3,M37*Habitat!$K$29,0)+IF(C37=4,M37*Habitat!$L$29,0)+IF(C37=5,M37*Habitat!$M$29,0)*IF(C37=7,M37*Habitat!$O$29,0)</f>
        <v>0</v>
      </c>
      <c r="S37">
        <f>IF(C37=1,M37*Habitat!$I$30,0)+IF(C37=2,M37*Habitat!$J$30,0)+IF(C37=3,M37*Habitat!$K$30,0)+IF(C37=4,M37*Habitat!$L$30,0)+IF(C37=5,M37*Habitat!$M$30,0)</f>
        <v>0</v>
      </c>
    </row>
    <row r="38" spans="1:19">
      <c r="A38" s="5">
        <f t="shared" si="4"/>
        <v>28</v>
      </c>
      <c r="B38" s="5">
        <f t="shared" si="5"/>
        <v>102</v>
      </c>
      <c r="C38" s="5"/>
      <c r="D38" s="56">
        <f>D37+Habitat!$C$16</f>
        <v>265</v>
      </c>
      <c r="E38" s="48">
        <f t="shared" si="6"/>
        <v>34</v>
      </c>
      <c r="F38" s="7">
        <f>Habitat!$D$13*D38</f>
        <v>7.42</v>
      </c>
      <c r="G38" s="7">
        <f t="shared" si="7"/>
        <v>0.75714285714285712</v>
      </c>
      <c r="H38" s="3">
        <f t="shared" si="8"/>
        <v>131.68143377105218</v>
      </c>
      <c r="I38" s="3">
        <f t="shared" si="0"/>
        <v>-1316.8143377105218</v>
      </c>
      <c r="J38" s="3">
        <f t="shared" si="10"/>
        <v>290</v>
      </c>
      <c r="K38" s="3">
        <f t="shared" si="1"/>
        <v>2633.6286754210437</v>
      </c>
      <c r="L38" s="7">
        <f t="shared" si="2"/>
        <v>1</v>
      </c>
      <c r="M38" s="8">
        <f t="shared" si="3"/>
        <v>54475.216613247023</v>
      </c>
      <c r="N38" s="48">
        <f>IF(C38=1,M38*Habitat!$I$27,0)+IF(C38=2,M38*Habitat!$J$27,0)+IF(C38=3,M38*Habitat!$K$27,0)+IF(C38=4,M38*Habitat!$L$27,0)+IF(C38=5,M38*Habitat!$M$27,0)</f>
        <v>0</v>
      </c>
      <c r="O38" s="48">
        <f>IF(C38=1,M38*Habitat!$I$26,0)+IF(C38=2,M38*Habitat!$J$26,0)+IF(C38=3,M38*Habitat!$K$26,0)+IF(C38=4,M38*Habitat!$L$26,0)+IF(C38=5,M38*Habitat!$M$26,0)</f>
        <v>0</v>
      </c>
      <c r="P38" s="48">
        <f>IF(C38=1,M38*Habitat!$I$25,0)+IF(C38=2,M38*Habitat!$J$25,0)+IF(C38=3,M38*Habitat!$K$25,0)+IF(C38=4,M38*Habitat!$L$25,0)+IF(C38=5,M38*Habitat!$M$25,0)+IF(C38=6,M38*Habitat!$N$25,0)</f>
        <v>0</v>
      </c>
      <c r="Q38" s="48">
        <f>IF(C38=1,M38*Habitat!$I$28,0)+IF(C38=2,M38*Habitat!$J$28,0)+IF(C38=3,M38*Habitat!$K$28,0)+IF(C38=4,M38*Habitat!$L$28,0)+IF(C38=5,M38*Habitat!$M$28,0)</f>
        <v>0</v>
      </c>
      <c r="R38" s="48">
        <f>M38*0.92</f>
        <v>50117.199284187263</v>
      </c>
      <c r="S38">
        <f>IF(C38=1,M38*Habitat!$I$30,0)+IF(C38=2,M38*Habitat!$J$30,0)+IF(C38=3,M38*Habitat!$K$30,0)+IF(C38=4,M38*Habitat!$L$30,0)+IF(C38=5,M38*Habitat!$M$30,0)</f>
        <v>0</v>
      </c>
    </row>
    <row r="39" spans="1:19">
      <c r="A39" s="5">
        <f t="shared" si="4"/>
        <v>29</v>
      </c>
      <c r="B39" s="5">
        <f t="shared" si="5"/>
        <v>97</v>
      </c>
      <c r="C39" s="5"/>
      <c r="D39" s="56">
        <f>D38+Habitat!$C$16</f>
        <v>270</v>
      </c>
      <c r="E39" s="48">
        <f t="shared" si="6"/>
        <v>39</v>
      </c>
      <c r="F39" s="7">
        <f>Habitat!$D$13*D39</f>
        <v>7.5600000000000005</v>
      </c>
      <c r="G39" s="7">
        <f t="shared" si="7"/>
        <v>0.77142857142857146</v>
      </c>
      <c r="H39" s="3">
        <f t="shared" si="8"/>
        <v>130.28814220795383</v>
      </c>
      <c r="I39" s="3">
        <f t="shared" si="0"/>
        <v>-1302.8814220795382</v>
      </c>
      <c r="J39" s="3">
        <f t="shared" si="10"/>
        <v>340</v>
      </c>
      <c r="K39" s="3">
        <f t="shared" si="1"/>
        <v>2605.7628441590764</v>
      </c>
      <c r="L39" s="7">
        <f t="shared" si="2"/>
        <v>1</v>
      </c>
      <c r="M39" s="8">
        <f t="shared" si="3"/>
        <v>53328.535294686735</v>
      </c>
      <c r="N39" s="48">
        <f>IF(C39=1,M39*Habitat!$I$27,0)+IF(C39=2,M39*Habitat!$J$27,0)+IF(C39=3,M39*Habitat!$K$27,0)+IF(C39=4,M39*Habitat!$L$27,0)+IF(C39=5,M39*Habitat!$M$27,0)</f>
        <v>0</v>
      </c>
      <c r="O39" s="48">
        <f>IF(C39=1,M39*Habitat!$I$26,0)+IF(C39=2,M39*Habitat!$J$26,0)+IF(C39=3,M39*Habitat!$K$26,0)+IF(C39=4,M39*Habitat!$L$26,0)+IF(C39=5,M39*Habitat!$M$26,0)</f>
        <v>0</v>
      </c>
      <c r="P39" s="48">
        <f>IF(C39=1,M39*Habitat!$I$25,0)+IF(C39=2,M39*Habitat!$J$25,0)+IF(C39=3,M39*Habitat!$K$25,0)+IF(C39=4,M39*Habitat!$L$25,0)+IF(C39=5,M39*Habitat!$M$25,0)+IF(C39=6,M39*Habitat!$N$25,0)</f>
        <v>0</v>
      </c>
      <c r="Q39" s="48">
        <f>IF(C39=1,M39*Habitat!$I$28,0)+IF(C39=2,M39*Habitat!$J$28,0)+IF(C39=3,M39*Habitat!$K$28,0)+IF(C39=4,M39*Habitat!$L$28,0)+IF(C39=5,M39*Habitat!$M$28,0)</f>
        <v>0</v>
      </c>
      <c r="R39" s="48">
        <f t="shared" ref="R39:R41" si="11">M39*0.92</f>
        <v>49062.252471111795</v>
      </c>
      <c r="S39">
        <f>IF(C39=1,M39*Habitat!$I$30,0)+IF(C39=2,M39*Habitat!$J$30,0)+IF(C39=3,M39*Habitat!$K$30,0)+IF(C39=4,M39*Habitat!$L$30,0)+IF(C39=5,M39*Habitat!$M$30,0)</f>
        <v>0</v>
      </c>
    </row>
    <row r="40" spans="1:19">
      <c r="A40" s="5">
        <f t="shared" si="4"/>
        <v>30</v>
      </c>
      <c r="B40" s="5">
        <f t="shared" si="5"/>
        <v>92</v>
      </c>
      <c r="C40" s="5"/>
      <c r="D40" s="56">
        <f>D39+Habitat!$C$16</f>
        <v>275</v>
      </c>
      <c r="E40" s="48">
        <f t="shared" si="6"/>
        <v>44</v>
      </c>
      <c r="F40" s="7">
        <f>Habitat!$D$13*D40</f>
        <v>7.7</v>
      </c>
      <c r="G40" s="7">
        <f t="shared" si="7"/>
        <v>0.7857142857142857</v>
      </c>
      <c r="H40" s="3">
        <f t="shared" si="8"/>
        <v>128.68566353716329</v>
      </c>
      <c r="I40" s="3">
        <f t="shared" si="0"/>
        <v>-1286.8566353716328</v>
      </c>
      <c r="J40" s="3">
        <f t="shared" si="10"/>
        <v>390</v>
      </c>
      <c r="K40" s="3">
        <f t="shared" si="1"/>
        <v>2573.7132707432656</v>
      </c>
      <c r="L40" s="7">
        <f t="shared" si="2"/>
        <v>1</v>
      </c>
      <c r="M40" s="8">
        <f t="shared" si="3"/>
        <v>52024.774343446974</v>
      </c>
      <c r="N40" s="48">
        <f>IF(C40=1,M40*Habitat!$I$27,0)+IF(C40=2,M40*Habitat!$J$27,0)+IF(C40=3,M40*Habitat!$K$27,0)+IF(C40=4,M40*Habitat!$L$27,0)+IF(C40=5,M40*Habitat!$M$27,0)</f>
        <v>0</v>
      </c>
      <c r="O40" s="48">
        <f>IF(C40=1,M40*Habitat!$I$26,0)+IF(C40=2,M40*Habitat!$J$26,0)+IF(C40=3,M40*Habitat!$K$26,0)+IF(C40=4,M40*Habitat!$L$26,0)+IF(C40=5,M40*Habitat!$M$26,0)</f>
        <v>0</v>
      </c>
      <c r="P40" s="48">
        <f>IF(C40=1,M40*Habitat!$I$25,0)+IF(C40=2,M40*Habitat!$J$25,0)+IF(C40=3,M40*Habitat!$K$25,0)+IF(C40=4,M40*Habitat!$L$25,0)+IF(C40=5,M40*Habitat!$M$25,0)+IF(C40=6,M40*Habitat!$N$25,0)</f>
        <v>0</v>
      </c>
      <c r="Q40" s="48">
        <f>IF(C40=1,M40*Habitat!$I$28,0)+IF(C40=2,M40*Habitat!$J$28,0)+IF(C40=3,M40*Habitat!$K$28,0)+IF(C40=4,M40*Habitat!$L$28,0)+IF(C40=5,M40*Habitat!$M$28,0)</f>
        <v>0</v>
      </c>
      <c r="R40" s="48">
        <f t="shared" si="11"/>
        <v>47862.792395971221</v>
      </c>
      <c r="S40">
        <f>IF(C40=1,M40*Habitat!$I$30,0)+IF(C40=2,M40*Habitat!$J$30,0)+IF(C40=3,M40*Habitat!$K$30,0)+IF(C40=4,M40*Habitat!$L$30,0)+IF(C40=5,M40*Habitat!$M$30,0)</f>
        <v>0</v>
      </c>
    </row>
    <row r="41" spans="1:19">
      <c r="A41" s="5">
        <f t="shared" si="4"/>
        <v>31</v>
      </c>
      <c r="B41" s="5">
        <f t="shared" si="5"/>
        <v>87</v>
      </c>
      <c r="C41" s="5"/>
      <c r="D41" s="56">
        <f>D40+Habitat!$C$16</f>
        <v>280</v>
      </c>
      <c r="E41" s="48">
        <f t="shared" si="6"/>
        <v>49</v>
      </c>
      <c r="F41" s="7">
        <f>Habitat!$D$13*D41</f>
        <v>7.84</v>
      </c>
      <c r="G41" s="7">
        <f t="shared" si="7"/>
        <v>0.79999999999999993</v>
      </c>
      <c r="H41" s="3">
        <f t="shared" si="8"/>
        <v>126.86607111438424</v>
      </c>
      <c r="I41" s="3">
        <f t="shared" si="0"/>
        <v>-1268.6607111438425</v>
      </c>
      <c r="J41" s="3">
        <f t="shared" si="10"/>
        <v>440</v>
      </c>
      <c r="K41" s="3">
        <f t="shared" si="1"/>
        <v>2537.321422287685</v>
      </c>
      <c r="L41" s="7">
        <f t="shared" si="2"/>
        <v>1</v>
      </c>
      <c r="M41" s="8">
        <f t="shared" si="3"/>
        <v>50563.933759527717</v>
      </c>
      <c r="N41" s="48">
        <f>IF(C41=1,M41*Habitat!$I$27,0)+IF(C41=2,M41*Habitat!$J$27,0)+IF(C41=3,M41*Habitat!$K$27,0)+IF(C41=4,M41*Habitat!$L$27,0)+IF(C41=5,M41*Habitat!$M$27,0)</f>
        <v>0</v>
      </c>
      <c r="O41" s="48">
        <f>IF(C41=1,M41*Habitat!$I$26,0)+IF(C41=2,M41*Habitat!$J$26,0)+IF(C41=3,M41*Habitat!$K$26,0)+IF(C41=4,M41*Habitat!$L$26,0)+IF(C41=5,M41*Habitat!$M$26,0)</f>
        <v>0</v>
      </c>
      <c r="P41" s="48">
        <f>IF(C41=1,M41*Habitat!$I$25,0)+IF(C41=2,M41*Habitat!$J$25,0)+IF(C41=3,M41*Habitat!$K$25,0)+IF(C41=4,M41*Habitat!$L$25,0)+IF(C41=5,M41*Habitat!$M$25,0)+IF(C41=6,M41*Habitat!$N$25,0)</f>
        <v>0</v>
      </c>
      <c r="Q41" s="48">
        <f>IF(C41=1,M41*Habitat!$I$28,0)+IF(C41=2,M41*Habitat!$J$28,0)+IF(C41=3,M41*Habitat!$K$28,0)+IF(C41=4,M41*Habitat!$L$28,0)+IF(C41=5,M41*Habitat!$M$28,0)</f>
        <v>0</v>
      </c>
      <c r="R41" s="48">
        <f t="shared" si="11"/>
        <v>46518.819058765504</v>
      </c>
      <c r="S41">
        <f>IF(C41=1,M41*Habitat!$I$30,0)+IF(C41=2,M41*Habitat!$J$30,0)+IF(C41=3,M41*Habitat!$K$30,0)+IF(C41=4,M41*Habitat!$L$30,0)+IF(C41=5,M41*Habitat!$M$30,0)</f>
        <v>0</v>
      </c>
    </row>
    <row r="42" spans="1:19">
      <c r="A42" s="5">
        <f t="shared" si="4"/>
        <v>32</v>
      </c>
      <c r="B42" s="5">
        <f t="shared" si="5"/>
        <v>82</v>
      </c>
      <c r="C42" s="5">
        <v>3</v>
      </c>
      <c r="D42" s="56">
        <f>D41+Habitat!$C$16</f>
        <v>285</v>
      </c>
      <c r="E42" s="48">
        <f t="shared" si="6"/>
        <v>54</v>
      </c>
      <c r="F42" s="7">
        <f>Habitat!$D$13*D42</f>
        <v>7.98</v>
      </c>
      <c r="G42" s="7">
        <f t="shared" si="7"/>
        <v>0.81428571428571428</v>
      </c>
      <c r="H42" s="3">
        <f t="shared" si="8"/>
        <v>124.81987021303939</v>
      </c>
      <c r="I42" s="3">
        <f t="shared" si="0"/>
        <v>-1248.1987021303939</v>
      </c>
      <c r="J42" s="3">
        <f t="shared" si="10"/>
        <v>490</v>
      </c>
      <c r="K42" s="3">
        <f t="shared" si="1"/>
        <v>2496.3974042607879</v>
      </c>
      <c r="L42" s="7">
        <f t="shared" si="2"/>
        <v>1</v>
      </c>
      <c r="M42" s="8">
        <f t="shared" si="3"/>
        <v>48946.01354292898</v>
      </c>
      <c r="N42" s="48">
        <f>IF(C42=1,M42*Habitat!$I$27,0)+IF(C42=2,M42*Habitat!$J$27,0)+IF(C42=3,M42*Habitat!$K$27,0)+IF(C42=4,M42*Habitat!$L$27,0)+IF(C42=5,M42*Habitat!$M$27,0)</f>
        <v>0</v>
      </c>
      <c r="O42" s="48">
        <f>IF(C42=1,M42*Habitat!$I$26,0)+IF(C42=2,M42*Habitat!$J$26,0)+IF(C42=3,M42*Habitat!$K$26,0)+IF(C42=4,M42*Habitat!$L$26,0)+IF(C42=5,M42*Habitat!$M$26,0)</f>
        <v>0</v>
      </c>
      <c r="P42" s="48">
        <f>IF(C42=1,M42*Habitat!$I$25,0)+IF(C42=2,M42*Habitat!$J$25,0)+IF(C42=3,M42*Habitat!$K$25,0)+IF(C42=4,M42*Habitat!$L$25,0)+IF(C42=5,M42*Habitat!$M$25,0)+IF(C42=6,M42*Habitat!$N$25,0)</f>
        <v>0</v>
      </c>
      <c r="Q42" s="48">
        <f>IF(C42=1,M42*Habitat!$I$28,0)+IF(C42=2,M42*Habitat!$J$28,0)+IF(C42=3,M42*Habitat!$K$28,0)+IF(C42=4,M42*Habitat!$L$28,0)+IF(C42=5,M42*Habitat!$M$28,0)</f>
        <v>1957.8405417171593</v>
      </c>
      <c r="R42" s="48">
        <f>IF(C42=1,M42*Habitat!$I$29,0)+IF(C42=2,M42*Habitat!$J$29,0)+IF(C42=3,M42*Habitat!$K$29,0)+IF(C42=4,M42*Habitat!$L$29,0)+IF(C42=5,M42*Habitat!$M$29,0)*IF(C42=7,M42*Habitat!$O$29,0)</f>
        <v>0</v>
      </c>
      <c r="S42">
        <f>IF(C42=1,M42*Habitat!$I$30,0)+IF(C42=2,M42*Habitat!$J$30,0)+IF(C42=3,M42*Habitat!$K$30,0)+IF(C42=4,M42*Habitat!$L$30,0)+IF(C42=5,M42*Habitat!$M$30,0)</f>
        <v>43072.491917777501</v>
      </c>
    </row>
    <row r="43" spans="1:19">
      <c r="A43" s="5">
        <f t="shared" si="4"/>
        <v>33</v>
      </c>
      <c r="B43" s="5">
        <f t="shared" si="5"/>
        <v>78</v>
      </c>
      <c r="C43" s="5">
        <v>1</v>
      </c>
      <c r="D43" s="56">
        <f>D42+4</f>
        <v>289</v>
      </c>
      <c r="E43" s="48">
        <f t="shared" si="6"/>
        <v>58</v>
      </c>
      <c r="F43" s="7">
        <f>Habitat!$D$13*D43</f>
        <v>8.0920000000000005</v>
      </c>
      <c r="G43" s="7">
        <f t="shared" si="7"/>
        <v>0.82571428571428573</v>
      </c>
      <c r="H43" s="3">
        <f t="shared" si="8"/>
        <v>123.01219451745425</v>
      </c>
      <c r="I43" s="3">
        <f t="shared" si="0"/>
        <v>-1230.1219451745424</v>
      </c>
      <c r="J43" s="3">
        <f t="shared" si="10"/>
        <v>540</v>
      </c>
      <c r="K43" s="3">
        <f t="shared" si="1"/>
        <v>2460.2438903490847</v>
      </c>
      <c r="L43" s="7">
        <f t="shared" si="2"/>
        <v>1</v>
      </c>
      <c r="M43" s="8">
        <f t="shared" ref="M43:M44" si="12">PI()*H43*H43</f>
        <v>47538.58003412075</v>
      </c>
      <c r="N43" s="48">
        <f>IF(C43=1,M43*Habitat!$I$27,0)+IF(C43=2,M43*Habitat!$J$27,0)+IF(C43=3,M43*Habitat!$K$27,0)+IF(C43=4,M43*Habitat!$L$27,0)+IF(C43=5,M43*Habitat!$M$27,0)</f>
        <v>42784.722030708675</v>
      </c>
      <c r="O43" s="48">
        <f>IF(C43=1,M43*Habitat!$I$26,0)+IF(C43=2,M43*Habitat!$J$26,0)+IF(C43=3,M43*Habitat!$K$26,0)+IF(C43=4,M43*Habitat!$L$26,0)+IF(C43=5,M43*Habitat!$M$26,0)</f>
        <v>0</v>
      </c>
      <c r="P43" s="48">
        <f>IF(C43=1,M43*Habitat!$I$25,0)+IF(C43=2,M43*Habitat!$J$25,0)+IF(C43=3,M43*Habitat!$K$25,0)+IF(C43=4,M43*Habitat!$L$25,0)+IF(C43=5,M43*Habitat!$M$25,0)+IF(C43=6,M43*Habitat!$N$25,0)</f>
        <v>0</v>
      </c>
      <c r="Q43" s="48">
        <f>IF(C43=1,M43*Habitat!$I$28,0)+IF(C43=2,M43*Habitat!$J$28,0)+IF(C43=3,M43*Habitat!$K$28,0)+IF(C43=4,M43*Habitat!$L$28,0)+IF(C43=5,M43*Habitat!$M$28,0)</f>
        <v>475.38580034120753</v>
      </c>
      <c r="R43" s="48">
        <f>IF(C43=1,M43*Habitat!$I$29,0)+IF(C43=2,M43*Habitat!$J$29,0)+IF(C43=3,M43*Habitat!$K$29,0)+IF(C43=4,M43*Habitat!$L$29,0)+IF(C43=5,M43*Habitat!$M$29,0)*IF(C43=7,M43*Habitat!$O$29,0)</f>
        <v>0</v>
      </c>
      <c r="S43">
        <f>IF(C43=1,M43*Habitat!$I$30,0)+IF(C43=2,M43*Habitat!$J$30,0)+IF(C43=3,M43*Habitat!$K$30,0)+IF(C43=4,M43*Habitat!$L$30,0)+IF(C43=5,M43*Habitat!$M$30,0)</f>
        <v>475.38580034120753</v>
      </c>
    </row>
    <row r="44" spans="1:19">
      <c r="A44" s="5">
        <f t="shared" ref="A44:A75" si="13">A43+1</f>
        <v>34</v>
      </c>
      <c r="B44" s="5">
        <f t="shared" si="5"/>
        <v>74</v>
      </c>
      <c r="C44" s="5">
        <v>1</v>
      </c>
      <c r="D44" s="56">
        <f t="shared" ref="D44:D52" si="14">D43+4</f>
        <v>293</v>
      </c>
      <c r="E44" s="48">
        <f t="shared" si="6"/>
        <v>62</v>
      </c>
      <c r="F44" s="7">
        <f>Habitat!$D$13*D44</f>
        <v>8.2040000000000006</v>
      </c>
      <c r="G44" s="7">
        <f t="shared" si="7"/>
        <v>0.83714285714285719</v>
      </c>
      <c r="H44" s="3">
        <f t="shared" si="8"/>
        <v>121.04544601099208</v>
      </c>
      <c r="I44" s="3">
        <f t="shared" si="0"/>
        <v>-1210.4544601099208</v>
      </c>
      <c r="J44" s="3">
        <f t="shared" si="9"/>
        <v>580</v>
      </c>
      <c r="K44" s="3">
        <f t="shared" si="1"/>
        <v>2420.9089202198415</v>
      </c>
      <c r="L44" s="7">
        <f t="shared" si="2"/>
        <v>1</v>
      </c>
      <c r="M44" s="8">
        <f t="shared" si="12"/>
        <v>46030.615560397644</v>
      </c>
      <c r="N44" s="48">
        <f>IF(C44=1,M44*Habitat!$I$27,0)+IF(C44=2,M44*Habitat!$J$27,0)+IF(C44=3,M44*Habitat!$K$27,0)+IF(C44=4,M44*Habitat!$L$27,0)+IF(C44=5,M44*Habitat!$M$27,0)</f>
        <v>41427.55400435788</v>
      </c>
      <c r="O44" s="48">
        <f>IF(C44=1,M44*Habitat!$I$26,0)+IF(C44=2,M44*Habitat!$J$26,0)+IF(C44=3,M44*Habitat!$K$26,0)+IF(C44=4,M44*Habitat!$L$26,0)+IF(C44=5,M44*Habitat!$M$26,0)</f>
        <v>0</v>
      </c>
      <c r="P44" s="48">
        <f>IF(C44=1,M44*Habitat!$I$25,0)+IF(C44=2,M44*Habitat!$J$25,0)+IF(C44=3,M44*Habitat!$K$25,0)+IF(C44=4,M44*Habitat!$L$25,0)+IF(C44=5,M44*Habitat!$M$25,0)+IF(C44=6,M44*Habitat!$N$25,0)</f>
        <v>0</v>
      </c>
      <c r="Q44" s="48">
        <f>IF(C44=1,M44*Habitat!$I$28,0)+IF(C44=2,M44*Habitat!$J$28,0)+IF(C44=3,M44*Habitat!$K$28,0)+IF(C44=4,M44*Habitat!$L$28,0)+IF(C44=5,M44*Habitat!$M$28,0)</f>
        <v>460.30615560397644</v>
      </c>
      <c r="R44" s="48">
        <f>IF(C44=1,M44*Habitat!$I$29,0)+IF(C44=2,M44*Habitat!$J$29,0)+IF(C44=3,M44*Habitat!$K$29,0)+IF(C44=4,M44*Habitat!$L$29,0)+IF(C44=5,M44*Habitat!$M$29,0)*IF(C44=7,M44*Habitat!$O$29,0)</f>
        <v>0</v>
      </c>
      <c r="S44">
        <f>IF(C44=1,M44*Habitat!$I$30,0)+IF(C44=2,M44*Habitat!$J$30,0)+IF(C44=3,M44*Habitat!$K$30,0)+IF(C44=4,M44*Habitat!$L$30,0)+IF(C44=5,M44*Habitat!$M$30,0)</f>
        <v>460.30615560397644</v>
      </c>
    </row>
    <row r="45" spans="1:19">
      <c r="A45" s="5">
        <f t="shared" si="13"/>
        <v>35</v>
      </c>
      <c r="B45" s="5">
        <f t="shared" si="5"/>
        <v>70</v>
      </c>
      <c r="C45" s="5">
        <v>1</v>
      </c>
      <c r="D45" s="56">
        <f t="shared" si="14"/>
        <v>297</v>
      </c>
      <c r="E45" s="48">
        <f t="shared" si="6"/>
        <v>66</v>
      </c>
      <c r="F45" s="7">
        <f>Habitat!$D$13*D45</f>
        <v>8.3160000000000007</v>
      </c>
      <c r="G45" s="7">
        <f t="shared" si="7"/>
        <v>0.84857142857142853</v>
      </c>
      <c r="H45" s="3">
        <f t="shared" si="8"/>
        <v>118.91173196955799</v>
      </c>
      <c r="I45" s="3">
        <f t="shared" ref="I45:I88" si="15">-K45/2</f>
        <v>-1189.1173196955799</v>
      </c>
      <c r="J45" s="3">
        <f t="shared" ref="J45:J88" si="16">(D44-$C$7)*10</f>
        <v>620</v>
      </c>
      <c r="K45" s="3">
        <f t="shared" ref="K45:K88" si="17">H45*20</f>
        <v>2378.2346393911598</v>
      </c>
      <c r="L45" s="7">
        <f t="shared" ref="L45:L88" si="18">IF(H45&gt;0,1,0)</f>
        <v>1</v>
      </c>
      <c r="M45" s="8">
        <f t="shared" ref="M45:M88" si="19">PI()*H45*H45</f>
        <v>44422.120121759675</v>
      </c>
      <c r="N45" s="48">
        <f>IF(C45=1,M45*Habitat!$I$27,0)+IF(C45=2,M45*Habitat!$J$27,0)+IF(C45=3,M45*Habitat!$K$27,0)+IF(C45=4,M45*Habitat!$L$27,0)+IF(C45=5,M45*Habitat!$M$27,0)</f>
        <v>39979.90810958371</v>
      </c>
      <c r="O45" s="48">
        <f>IF(C45=1,M45*Habitat!$I$26,0)+IF(C45=2,M45*Habitat!$J$26,0)+IF(C45=3,M45*Habitat!$K$26,0)+IF(C45=4,M45*Habitat!$L$26,0)+IF(C45=5,M45*Habitat!$M$26,0)</f>
        <v>0</v>
      </c>
      <c r="P45" s="48">
        <f>IF(C45=1,M45*Habitat!$I$25,0)+IF(C45=2,M45*Habitat!$J$25,0)+IF(C45=3,M45*Habitat!$K$25,0)+IF(C45=4,M45*Habitat!$L$25,0)+IF(C45=5,M45*Habitat!$M$25,0)+IF(C45=6,M45*Habitat!$N$25,0)</f>
        <v>0</v>
      </c>
      <c r="Q45" s="48">
        <f>IF(C45=1,M45*Habitat!$I$28,0)+IF(C45=2,M45*Habitat!$J$28,0)+IF(C45=3,M45*Habitat!$K$28,0)+IF(C45=4,M45*Habitat!$L$28,0)+IF(C45=5,M45*Habitat!$M$28,0)</f>
        <v>444.22120121759679</v>
      </c>
      <c r="R45" s="48">
        <f>IF(C45=1,M45*Habitat!$I$29,0)+IF(C45=2,M45*Habitat!$J$29,0)+IF(C45=3,M45*Habitat!$K$29,0)+IF(C45=4,M45*Habitat!$L$29,0)+IF(C45=5,M45*Habitat!$M$29,0)*IF(C45=7,M45*Habitat!$O$29,0)</f>
        <v>0</v>
      </c>
      <c r="S45">
        <f>IF(C45=1,M45*Habitat!$I$30,0)+IF(C45=2,M45*Habitat!$J$30,0)+IF(C45=3,M45*Habitat!$K$30,0)+IF(C45=4,M45*Habitat!$L$30,0)+IF(C45=5,M45*Habitat!$M$30,0)</f>
        <v>444.22120121759679</v>
      </c>
    </row>
    <row r="46" spans="1:19">
      <c r="A46">
        <f t="shared" si="13"/>
        <v>36</v>
      </c>
      <c r="B46" s="5">
        <f t="shared" si="5"/>
        <v>66</v>
      </c>
      <c r="C46" s="5">
        <v>1</v>
      </c>
      <c r="D46" s="56">
        <f t="shared" si="14"/>
        <v>301</v>
      </c>
      <c r="E46" s="48">
        <f t="shared" ref="E46:E109" si="20">IF(D46&lt;=$C$7,D45-$C$7,D46-$C$7)</f>
        <v>70</v>
      </c>
      <c r="F46" s="7">
        <f>Habitat!$D$13*D46</f>
        <v>8.4280000000000008</v>
      </c>
      <c r="G46" s="7">
        <f t="shared" ref="G46:G62" si="21">IF(H46&gt;0,F46/9.8,0)</f>
        <v>0.86</v>
      </c>
      <c r="H46" s="3">
        <f t="shared" ref="H46:H62" si="22">IF(E46&lt;=$C$5,SQRT($C$5^2-E46^2),0)</f>
        <v>116.60188677718727</v>
      </c>
      <c r="I46" s="3">
        <f t="shared" si="15"/>
        <v>-1166.0188677718727</v>
      </c>
      <c r="J46" s="3">
        <f t="shared" si="16"/>
        <v>660</v>
      </c>
      <c r="K46" s="3">
        <f t="shared" si="17"/>
        <v>2332.0377355437454</v>
      </c>
      <c r="L46" s="7">
        <f t="shared" si="18"/>
        <v>1</v>
      </c>
      <c r="M46" s="8">
        <f t="shared" si="19"/>
        <v>42713.09371820683</v>
      </c>
      <c r="N46" s="48">
        <f>IF(C46=1,M46*Habitat!$I$27,0)+IF(C46=2,M46*Habitat!$J$27,0)+IF(C46=3,M46*Habitat!$K$27,0)+IF(C46=4,M46*Habitat!$L$27,0)+IF(C46=5,M46*Habitat!$M$27,0)</f>
        <v>38441.78434638615</v>
      </c>
      <c r="O46" s="48">
        <f>IF(C46=1,M46*Habitat!$I$26,0)+IF(C46=2,M46*Habitat!$J$26,0)+IF(C46=3,M46*Habitat!$K$26,0)+IF(C46=4,M46*Habitat!$L$26,0)+IF(C46=5,M46*Habitat!$M$26,0)</f>
        <v>0</v>
      </c>
      <c r="P46" s="48">
        <f>IF(C46=1,M46*Habitat!$I$25,0)+IF(C46=2,M46*Habitat!$J$25,0)+IF(C46=3,M46*Habitat!$K$25,0)+IF(C46=4,M46*Habitat!$L$25,0)+IF(C46=5,M46*Habitat!$M$25,0)+IF(C46=6,M46*Habitat!$N$25,0)</f>
        <v>0</v>
      </c>
      <c r="Q46" s="48">
        <f>IF(C46=1,M46*Habitat!$I$28,0)+IF(C46=2,M46*Habitat!$J$28,0)+IF(C46=3,M46*Habitat!$K$28,0)+IF(C46=4,M46*Habitat!$L$28,0)+IF(C46=5,M46*Habitat!$M$28,0)</f>
        <v>427.13093718206829</v>
      </c>
      <c r="R46" s="48">
        <f>IF(C46=1,M46*Habitat!$I$29,0)+IF(C46=2,M46*Habitat!$J$29,0)+IF(C46=3,M46*Habitat!$K$29,0)+IF(C46=4,M46*Habitat!$L$29,0)+IF(C46=5,M46*Habitat!$M$29,0)*IF(C46=7,M46*Habitat!$O$29,0)</f>
        <v>0</v>
      </c>
      <c r="S46">
        <f>IF(C46=1,M46*Habitat!$I$30,0)+IF(C46=2,M46*Habitat!$J$30,0)+IF(C46=3,M46*Habitat!$K$30,0)+IF(C46=4,M46*Habitat!$L$30,0)+IF(C46=5,M46*Habitat!$M$30,0)</f>
        <v>427.13093718206829</v>
      </c>
    </row>
    <row r="47" spans="1:19">
      <c r="A47">
        <f t="shared" si="13"/>
        <v>37</v>
      </c>
      <c r="B47" s="5">
        <f t="shared" si="5"/>
        <v>62</v>
      </c>
      <c r="C47" s="5">
        <v>1</v>
      </c>
      <c r="D47" s="56">
        <f t="shared" si="14"/>
        <v>305</v>
      </c>
      <c r="E47" s="48">
        <f t="shared" si="20"/>
        <v>74</v>
      </c>
      <c r="F47" s="7">
        <f>Habitat!$D$13*D47</f>
        <v>8.5400000000000009</v>
      </c>
      <c r="G47" s="7">
        <f t="shared" si="21"/>
        <v>0.87142857142857144</v>
      </c>
      <c r="H47" s="3">
        <f t="shared" si="22"/>
        <v>114.1052146047673</v>
      </c>
      <c r="I47" s="3">
        <f t="shared" si="15"/>
        <v>-1141.052146047673</v>
      </c>
      <c r="J47" s="3">
        <f t="shared" si="16"/>
        <v>700</v>
      </c>
      <c r="K47" s="3">
        <f t="shared" si="17"/>
        <v>2282.104292095346</v>
      </c>
      <c r="L47" s="7">
        <f t="shared" si="18"/>
        <v>1</v>
      </c>
      <c r="M47" s="8">
        <f t="shared" si="19"/>
        <v>40903.536349739108</v>
      </c>
      <c r="N47" s="48">
        <f>IF(C47=1,M47*Habitat!$I$27,0)+IF(C47=2,M47*Habitat!$J$27,0)+IF(C47=3,M47*Habitat!$K$27,0)+IF(C47=4,M47*Habitat!$L$27,0)+IF(C47=5,M47*Habitat!$M$27,0)</f>
        <v>36813.1827147652</v>
      </c>
      <c r="O47" s="48">
        <f>IF(C47=1,M47*Habitat!$I$26,0)+IF(C47=2,M47*Habitat!$J$26,0)+IF(C47=3,M47*Habitat!$K$26,0)+IF(C47=4,M47*Habitat!$L$26,0)+IF(C47=5,M47*Habitat!$M$26,0)</f>
        <v>0</v>
      </c>
      <c r="P47" s="48">
        <f>IF(C47=1,M47*Habitat!$I$25,0)+IF(C47=2,M47*Habitat!$J$25,0)+IF(C47=3,M47*Habitat!$K$25,0)+IF(C47=4,M47*Habitat!$L$25,0)+IF(C47=5,M47*Habitat!$M$25,0)+IF(C47=6,M47*Habitat!$N$25,0)</f>
        <v>0</v>
      </c>
      <c r="Q47" s="48">
        <f>IF(C47=1,M47*Habitat!$I$28,0)+IF(C47=2,M47*Habitat!$J$28,0)+IF(C47=3,M47*Habitat!$K$28,0)+IF(C47=4,M47*Habitat!$L$28,0)+IF(C47=5,M47*Habitat!$M$28,0)</f>
        <v>409.03536349739107</v>
      </c>
      <c r="R47" s="48">
        <f>IF(C47=1,M47*Habitat!$I$29,0)+IF(C47=2,M47*Habitat!$J$29,0)+IF(C47=3,M47*Habitat!$K$29,0)+IF(C47=4,M47*Habitat!$L$29,0)+IF(C47=5,M47*Habitat!$M$29,0)*IF(C47=7,M47*Habitat!$O$29,0)</f>
        <v>0</v>
      </c>
      <c r="S47">
        <f>IF(C47=1,M47*Habitat!$I$30,0)+IF(C47=2,M47*Habitat!$J$30,0)+IF(C47=3,M47*Habitat!$K$30,0)+IF(C47=4,M47*Habitat!$L$30,0)+IF(C47=5,M47*Habitat!$M$30,0)</f>
        <v>409.03536349739107</v>
      </c>
    </row>
    <row r="48" spans="1:19">
      <c r="A48">
        <f t="shared" si="13"/>
        <v>38</v>
      </c>
      <c r="B48" s="5">
        <f t="shared" si="5"/>
        <v>58</v>
      </c>
      <c r="C48" s="5">
        <v>1</v>
      </c>
      <c r="D48" s="56">
        <f t="shared" si="14"/>
        <v>309</v>
      </c>
      <c r="E48" s="48">
        <f t="shared" si="20"/>
        <v>78</v>
      </c>
      <c r="F48" s="7">
        <f>Habitat!$D$13*D48</f>
        <v>8.652000000000001</v>
      </c>
      <c r="G48" s="7">
        <f t="shared" si="21"/>
        <v>0.8828571428571429</v>
      </c>
      <c r="H48" s="3">
        <f t="shared" si="22"/>
        <v>111.40915581764364</v>
      </c>
      <c r="I48" s="3">
        <f t="shared" si="15"/>
        <v>-1114.0915581764364</v>
      </c>
      <c r="J48" s="3">
        <f t="shared" si="16"/>
        <v>740</v>
      </c>
      <c r="K48" s="3">
        <f t="shared" si="17"/>
        <v>2228.1831163528727</v>
      </c>
      <c r="L48" s="7">
        <f t="shared" si="18"/>
        <v>1</v>
      </c>
      <c r="M48" s="8">
        <f t="shared" si="19"/>
        <v>38993.448016356509</v>
      </c>
      <c r="N48" s="48">
        <f>IF(C48=1,M48*Habitat!$I$27,0)+IF(C48=2,M48*Habitat!$J$27,0)+IF(C48=3,M48*Habitat!$K$27,0)+IF(C48=4,M48*Habitat!$L$27,0)+IF(C48=5,M48*Habitat!$M$27,0)</f>
        <v>35094.103214720861</v>
      </c>
      <c r="O48" s="48">
        <f>IF(C48=1,M48*Habitat!$I$26,0)+IF(C48=2,M48*Habitat!$J$26,0)+IF(C48=3,M48*Habitat!$K$26,0)+IF(C48=4,M48*Habitat!$L$26,0)+IF(C48=5,M48*Habitat!$M$26,0)</f>
        <v>0</v>
      </c>
      <c r="P48" s="48">
        <f>IF(C48=1,M48*Habitat!$I$25,0)+IF(C48=2,M48*Habitat!$J$25,0)+IF(C48=3,M48*Habitat!$K$25,0)+IF(C48=4,M48*Habitat!$L$25,0)+IF(C48=5,M48*Habitat!$M$25,0)+IF(C48=6,M48*Habitat!$N$25,0)</f>
        <v>0</v>
      </c>
      <c r="Q48" s="48">
        <f>IF(C48=1,M48*Habitat!$I$28,0)+IF(C48=2,M48*Habitat!$J$28,0)+IF(C48=3,M48*Habitat!$K$28,0)+IF(C48=4,M48*Habitat!$L$28,0)+IF(C48=5,M48*Habitat!$M$28,0)</f>
        <v>389.93448016356513</v>
      </c>
      <c r="R48" s="48">
        <f>IF(C48=1,M48*Habitat!$I$29,0)+IF(C48=2,M48*Habitat!$J$29,0)+IF(C48=3,M48*Habitat!$K$29,0)+IF(C48=4,M48*Habitat!$L$29,0)+IF(C48=5,M48*Habitat!$M$29,0)*IF(C48=7,M48*Habitat!$O$29,0)</f>
        <v>0</v>
      </c>
      <c r="S48">
        <f>IF(C48=1,M48*Habitat!$I$30,0)+IF(C48=2,M48*Habitat!$J$30,0)+IF(C48=3,M48*Habitat!$K$30,0)+IF(C48=4,M48*Habitat!$L$30,0)+IF(C48=5,M48*Habitat!$M$30,0)</f>
        <v>389.93448016356513</v>
      </c>
    </row>
    <row r="49" spans="1:19">
      <c r="A49">
        <f t="shared" si="13"/>
        <v>39</v>
      </c>
      <c r="B49" s="5">
        <f t="shared" si="5"/>
        <v>54</v>
      </c>
      <c r="C49" s="5">
        <v>1</v>
      </c>
      <c r="D49" s="56">
        <f t="shared" si="14"/>
        <v>313</v>
      </c>
      <c r="E49" s="48">
        <f t="shared" si="20"/>
        <v>82</v>
      </c>
      <c r="F49" s="7">
        <f>Habitat!$D$13*D49</f>
        <v>8.7639999999999993</v>
      </c>
      <c r="G49" s="7">
        <f t="shared" si="21"/>
        <v>0.89428571428571413</v>
      </c>
      <c r="H49" s="3">
        <f t="shared" si="22"/>
        <v>108.49884792015075</v>
      </c>
      <c r="I49" s="3">
        <f t="shared" si="15"/>
        <v>-1084.9884792015075</v>
      </c>
      <c r="J49" s="3">
        <f t="shared" si="16"/>
        <v>780</v>
      </c>
      <c r="K49" s="3">
        <f t="shared" si="17"/>
        <v>2169.976958403015</v>
      </c>
      <c r="L49" s="7">
        <f t="shared" si="18"/>
        <v>1</v>
      </c>
      <c r="M49" s="8">
        <f t="shared" si="19"/>
        <v>36982.828718059049</v>
      </c>
      <c r="N49" s="48">
        <f>IF(C49=1,M49*Habitat!$I$27,0)+IF(C49=2,M49*Habitat!$J$27,0)+IF(C49=3,M49*Habitat!$K$27,0)+IF(C49=4,M49*Habitat!$L$27,0)+IF(C49=5,M49*Habitat!$M$27,0)</f>
        <v>33284.545846253146</v>
      </c>
      <c r="O49" s="48">
        <f>IF(C49=1,M49*Habitat!$I$26,0)+IF(C49=2,M49*Habitat!$J$26,0)+IF(C49=3,M49*Habitat!$K$26,0)+IF(C49=4,M49*Habitat!$L$26,0)+IF(C49=5,M49*Habitat!$M$26,0)</f>
        <v>0</v>
      </c>
      <c r="P49" s="48">
        <f>IF(C49=1,M49*Habitat!$I$25,0)+IF(C49=2,M49*Habitat!$J$25,0)+IF(C49=3,M49*Habitat!$K$25,0)+IF(C49=4,M49*Habitat!$L$25,0)+IF(C49=5,M49*Habitat!$M$25,0)+IF(C49=6,M49*Habitat!$N$25,0)</f>
        <v>0</v>
      </c>
      <c r="Q49" s="48">
        <f>IF(C49=1,M49*Habitat!$I$28,0)+IF(C49=2,M49*Habitat!$J$28,0)+IF(C49=3,M49*Habitat!$K$28,0)+IF(C49=4,M49*Habitat!$L$28,0)+IF(C49=5,M49*Habitat!$M$28,0)</f>
        <v>369.82828718059051</v>
      </c>
      <c r="R49" s="48">
        <f>IF(C49=1,M49*Habitat!$I$29,0)+IF(C49=2,M49*Habitat!$J$29,0)+IF(C49=3,M49*Habitat!$K$29,0)+IF(C49=4,M49*Habitat!$L$29,0)+IF(C49=5,M49*Habitat!$M$29,0)*IF(C49=7,M49*Habitat!$O$29,0)</f>
        <v>0</v>
      </c>
      <c r="S49">
        <f>IF(C49=1,M49*Habitat!$I$30,0)+IF(C49=2,M49*Habitat!$J$30,0)+IF(C49=3,M49*Habitat!$K$30,0)+IF(C49=4,M49*Habitat!$L$30,0)+IF(C49=5,M49*Habitat!$M$30,0)</f>
        <v>369.82828718059051</v>
      </c>
    </row>
    <row r="50" spans="1:19">
      <c r="A50">
        <f t="shared" si="13"/>
        <v>40</v>
      </c>
      <c r="B50" s="5">
        <f t="shared" si="5"/>
        <v>50</v>
      </c>
      <c r="C50" s="5">
        <v>1</v>
      </c>
      <c r="D50" s="56">
        <f t="shared" si="14"/>
        <v>317</v>
      </c>
      <c r="E50" s="48">
        <f t="shared" si="20"/>
        <v>86</v>
      </c>
      <c r="F50" s="7">
        <f>Habitat!$D$13*D50</f>
        <v>8.8759999999999994</v>
      </c>
      <c r="G50" s="7">
        <f t="shared" si="21"/>
        <v>0.90571428571428558</v>
      </c>
      <c r="H50" s="3">
        <f t="shared" si="22"/>
        <v>105.35653752852738</v>
      </c>
      <c r="I50" s="3">
        <f t="shared" si="15"/>
        <v>-1053.5653752852738</v>
      </c>
      <c r="J50" s="3">
        <f t="shared" si="16"/>
        <v>820</v>
      </c>
      <c r="K50" s="3">
        <f t="shared" si="17"/>
        <v>2107.1307505705477</v>
      </c>
      <c r="L50" s="7">
        <f t="shared" si="18"/>
        <v>1</v>
      </c>
      <c r="M50" s="8">
        <f t="shared" si="19"/>
        <v>34871.678454846704</v>
      </c>
      <c r="N50" s="48">
        <f>IF(C50=1,M50*Habitat!$I$27,0)+IF(C50=2,M50*Habitat!$J$27,0)+IF(C50=3,M50*Habitat!$K$27,0)+IF(C50=4,M50*Habitat!$L$27,0)+IF(C50=5,M50*Habitat!$M$27,0)</f>
        <v>31384.510609362034</v>
      </c>
      <c r="O50" s="48">
        <f>IF(C50=1,M50*Habitat!$I$26,0)+IF(C50=2,M50*Habitat!$J$26,0)+IF(C50=3,M50*Habitat!$K$26,0)+IF(C50=4,M50*Habitat!$L$26,0)+IF(C50=5,M50*Habitat!$M$26,0)</f>
        <v>0</v>
      </c>
      <c r="P50" s="48">
        <f>IF(C50=1,M50*Habitat!$I$25,0)+IF(C50=2,M50*Habitat!$J$25,0)+IF(C50=3,M50*Habitat!$K$25,0)+IF(C50=4,M50*Habitat!$L$25,0)+IF(C50=5,M50*Habitat!$M$25,0)+IF(C50=6,M50*Habitat!$N$25,0)</f>
        <v>0</v>
      </c>
      <c r="Q50" s="48">
        <f>IF(C50=1,M50*Habitat!$I$28,0)+IF(C50=2,M50*Habitat!$J$28,0)+IF(C50=3,M50*Habitat!$K$28,0)+IF(C50=4,M50*Habitat!$L$28,0)+IF(C50=5,M50*Habitat!$M$28,0)</f>
        <v>348.71678454846705</v>
      </c>
      <c r="R50" s="48">
        <f>IF(C50=1,M50*Habitat!$I$29,0)+IF(C50=2,M50*Habitat!$J$29,0)+IF(C50=3,M50*Habitat!$K$29,0)+IF(C50=4,M50*Habitat!$L$29,0)+IF(C50=5,M50*Habitat!$M$29,0)*IF(C50=7,M50*Habitat!$O$29,0)</f>
        <v>0</v>
      </c>
      <c r="S50">
        <f>IF(C50=1,M50*Habitat!$I$30,0)+IF(C50=2,M50*Habitat!$J$30,0)+IF(C50=3,M50*Habitat!$K$30,0)+IF(C50=4,M50*Habitat!$L$30,0)+IF(C50=5,M50*Habitat!$M$30,0)</f>
        <v>348.71678454846705</v>
      </c>
    </row>
    <row r="51" spans="1:19">
      <c r="A51">
        <f t="shared" si="13"/>
        <v>41</v>
      </c>
      <c r="B51" s="5">
        <f t="shared" si="5"/>
        <v>46</v>
      </c>
      <c r="C51" s="5">
        <v>1</v>
      </c>
      <c r="D51" s="56">
        <f t="shared" si="14"/>
        <v>321</v>
      </c>
      <c r="E51" s="48">
        <f t="shared" si="20"/>
        <v>90</v>
      </c>
      <c r="F51" s="7">
        <f>Habitat!$D$13*D51</f>
        <v>8.9879999999999995</v>
      </c>
      <c r="G51" s="7">
        <f t="shared" si="21"/>
        <v>0.91714285714285704</v>
      </c>
      <c r="H51" s="3">
        <f t="shared" si="22"/>
        <v>101.96077677224709</v>
      </c>
      <c r="I51" s="3">
        <f t="shared" si="15"/>
        <v>-1019.6077677224708</v>
      </c>
      <c r="J51" s="3">
        <f t="shared" si="16"/>
        <v>860</v>
      </c>
      <c r="K51" s="3">
        <f t="shared" si="17"/>
        <v>2039.2155354449417</v>
      </c>
      <c r="L51" s="7">
        <f t="shared" si="18"/>
        <v>1</v>
      </c>
      <c r="M51" s="8">
        <f t="shared" si="19"/>
        <v>32659.99722671949</v>
      </c>
      <c r="N51" s="48">
        <f>IF(C51=1,M51*Habitat!$I$27,0)+IF(C51=2,M51*Habitat!$J$27,0)+IF(C51=3,M51*Habitat!$K$27,0)+IF(C51=4,M51*Habitat!$L$27,0)+IF(C51=5,M51*Habitat!$M$27,0)</f>
        <v>29393.99750404754</v>
      </c>
      <c r="O51" s="48">
        <f>IF(C51=1,M51*Habitat!$I$26,0)+IF(C51=2,M51*Habitat!$J$26,0)+IF(C51=3,M51*Habitat!$K$26,0)+IF(C51=4,M51*Habitat!$L$26,0)+IF(C51=5,M51*Habitat!$M$26,0)</f>
        <v>0</v>
      </c>
      <c r="P51" s="48">
        <f>IF(C51=1,M51*Habitat!$I$25,0)+IF(C51=2,M51*Habitat!$J$25,0)+IF(C51=3,M51*Habitat!$K$25,0)+IF(C51=4,M51*Habitat!$L$25,0)+IF(C51=5,M51*Habitat!$M$25,0)+IF(C51=6,M51*Habitat!$N$25,0)</f>
        <v>0</v>
      </c>
      <c r="Q51" s="48">
        <f>IF(C51=1,M51*Habitat!$I$28,0)+IF(C51=2,M51*Habitat!$J$28,0)+IF(C51=3,M51*Habitat!$K$28,0)+IF(C51=4,M51*Habitat!$L$28,0)+IF(C51=5,M51*Habitat!$M$28,0)</f>
        <v>326.59997226719491</v>
      </c>
      <c r="R51" s="48">
        <f>IF(C51=1,M51*Habitat!$I$29,0)+IF(C51=2,M51*Habitat!$J$29,0)+IF(C51=3,M51*Habitat!$K$29,0)+IF(C51=4,M51*Habitat!$L$29,0)+IF(C51=5,M51*Habitat!$M$29,0)*IF(C51=7,M51*Habitat!$O$29,0)</f>
        <v>0</v>
      </c>
      <c r="S51">
        <f>IF(C51=1,M51*Habitat!$I$30,0)+IF(C51=2,M51*Habitat!$J$30,0)+IF(C51=3,M51*Habitat!$K$30,0)+IF(C51=4,M51*Habitat!$L$30,0)+IF(C51=5,M51*Habitat!$M$30,0)</f>
        <v>326.59997226719491</v>
      </c>
    </row>
    <row r="52" spans="1:19">
      <c r="A52">
        <f t="shared" si="13"/>
        <v>42</v>
      </c>
      <c r="B52" s="5">
        <f t="shared" si="5"/>
        <v>42</v>
      </c>
      <c r="C52" s="5">
        <v>1</v>
      </c>
      <c r="D52" s="56">
        <f t="shared" si="14"/>
        <v>325</v>
      </c>
      <c r="E52" s="48">
        <f t="shared" si="20"/>
        <v>94</v>
      </c>
      <c r="F52" s="7">
        <f>Habitat!$D$13*D52</f>
        <v>9.1</v>
      </c>
      <c r="G52" s="7">
        <f t="shared" si="21"/>
        <v>0.92857142857142849</v>
      </c>
      <c r="H52" s="3">
        <f t="shared" si="22"/>
        <v>98.285299002444916</v>
      </c>
      <c r="I52" s="3">
        <f t="shared" si="15"/>
        <v>-982.85299002444913</v>
      </c>
      <c r="J52" s="3">
        <f t="shared" si="16"/>
        <v>900</v>
      </c>
      <c r="K52" s="3">
        <f t="shared" si="17"/>
        <v>1965.7059800488983</v>
      </c>
      <c r="L52" s="7">
        <f t="shared" si="18"/>
        <v>1</v>
      </c>
      <c r="M52" s="8">
        <f t="shared" si="19"/>
        <v>30347.785033677399</v>
      </c>
      <c r="N52" s="48">
        <f>IF(C52=1,M52*Habitat!$I$27,0)+IF(C52=2,M52*Habitat!$J$27,0)+IF(C52=3,M52*Habitat!$K$27,0)+IF(C52=4,M52*Habitat!$L$27,0)+IF(C52=5,M52*Habitat!$M$27,0)</f>
        <v>27313.00653030966</v>
      </c>
      <c r="O52" s="48">
        <f>IF(C52=1,M52*Habitat!$I$26,0)+IF(C52=2,M52*Habitat!$J$26,0)+IF(C52=3,M52*Habitat!$K$26,0)+IF(C52=4,M52*Habitat!$L$26,0)+IF(C52=5,M52*Habitat!$M$26,0)</f>
        <v>0</v>
      </c>
      <c r="P52" s="48">
        <f>IF(C52=1,M52*Habitat!$I$25,0)+IF(C52=2,M52*Habitat!$J$25,0)+IF(C52=3,M52*Habitat!$K$25,0)+IF(C52=4,M52*Habitat!$L$25,0)+IF(C52=5,M52*Habitat!$M$25,0)+IF(C52=6,M52*Habitat!$N$25,0)</f>
        <v>0</v>
      </c>
      <c r="Q52" s="48">
        <f>IF(C52=1,M52*Habitat!$I$28,0)+IF(C52=2,M52*Habitat!$J$28,0)+IF(C52=3,M52*Habitat!$K$28,0)+IF(C52=4,M52*Habitat!$L$28,0)+IF(C52=5,M52*Habitat!$M$28,0)</f>
        <v>303.477850336774</v>
      </c>
      <c r="R52" s="48">
        <f>IF(C52=1,M52*Habitat!$I$29,0)+IF(C52=2,M52*Habitat!$J$29,0)+IF(C52=3,M52*Habitat!$K$29,0)+IF(C52=4,M52*Habitat!$L$29,0)+IF(C52=5,M52*Habitat!$M$29,0)*IF(C52=7,M52*Habitat!$O$29,0)</f>
        <v>0</v>
      </c>
      <c r="S52">
        <f>IF(C52=1,M52*Habitat!$I$30,0)+IF(C52=2,M52*Habitat!$J$30,0)+IF(C52=3,M52*Habitat!$K$30,0)+IF(C52=4,M52*Habitat!$L$30,0)+IF(C52=5,M52*Habitat!$M$30,0)</f>
        <v>303.477850336774</v>
      </c>
    </row>
    <row r="53" spans="1:19">
      <c r="A53">
        <f t="shared" si="13"/>
        <v>43</v>
      </c>
      <c r="B53" s="5">
        <f t="shared" si="5"/>
        <v>37</v>
      </c>
      <c r="C53" s="5">
        <v>1</v>
      </c>
      <c r="D53" s="56">
        <f>D52+5</f>
        <v>330</v>
      </c>
      <c r="E53" s="48">
        <f t="shared" ref="E53" si="23">IF(D53&lt;=$C$7,D52-$C$7,D53-$C$7)</f>
        <v>99</v>
      </c>
      <c r="F53" s="7">
        <f>Habitat!$D$13*D53</f>
        <v>9.24</v>
      </c>
      <c r="G53" s="7">
        <f t="shared" ref="G53" si="24">IF(H53&gt;0,F53/9.8,0)</f>
        <v>0.94285714285714284</v>
      </c>
      <c r="H53" s="3">
        <f t="shared" ref="H53" si="25">IF(E53&lt;=$C$5,SQRT($C$5^2-E53^2),0)</f>
        <v>93.246983865431275</v>
      </c>
      <c r="I53" s="3">
        <f t="shared" ref="I53" si="26">-K53/2</f>
        <v>-932.46983865431275</v>
      </c>
      <c r="J53" s="3">
        <f t="shared" ref="J53" si="27">(D52-$C$7)*10</f>
        <v>940</v>
      </c>
      <c r="K53" s="3">
        <f t="shared" ref="K53" si="28">H53*20</f>
        <v>1864.9396773086255</v>
      </c>
      <c r="L53" s="7">
        <f t="shared" ref="L53" si="29">IF(H53&gt;0,1,0)</f>
        <v>1</v>
      </c>
      <c r="M53" s="8">
        <f t="shared" ref="M53" si="30">PI()*H53*H53</f>
        <v>27316.148122963252</v>
      </c>
      <c r="N53" s="48">
        <f>IF(C53=1,M53*Habitat!$I$27,0)+IF(C53=2,M53*Habitat!$J$27,0)+IF(C53=3,M53*Habitat!$K$27,0)+IF(C53=4,M53*Habitat!$L$27,0)+IF(C53=5,M53*Habitat!$M$27,0)</f>
        <v>24584.533310666928</v>
      </c>
      <c r="O53" s="48">
        <f>IF(C53=1,M53*Habitat!$I$26,0)+IF(C53=2,M53*Habitat!$J$26,0)+IF(C53=3,M53*Habitat!$K$26,0)+IF(C53=4,M53*Habitat!$L$26,0)+IF(C53=5,M53*Habitat!$M$26,0)</f>
        <v>0</v>
      </c>
      <c r="P53" s="48">
        <f>IF(C53=1,M53*Habitat!$I$25,0)+IF(C53=2,M53*Habitat!$J$25,0)+IF(C53=3,M53*Habitat!$K$25,0)+IF(C53=4,M53*Habitat!$L$25,0)+IF(C53=5,M53*Habitat!$M$25,0)+IF(C53=6,M53*Habitat!$N$25,0)</f>
        <v>0</v>
      </c>
      <c r="Q53" s="48">
        <f>IF(C53=1,M53*Habitat!$I$28,0)+IF(C53=2,M53*Habitat!$J$28,0)+IF(C53=3,M53*Habitat!$K$28,0)+IF(C53=4,M53*Habitat!$L$28,0)+IF(C53=5,M53*Habitat!$M$28,0)</f>
        <v>273.1614812296325</v>
      </c>
      <c r="R53" s="48">
        <f>IF(C53=1,M53*Habitat!$I$29,0)+IF(C53=2,M53*Habitat!$J$29,0)+IF(C53=3,M53*Habitat!$K$29,0)+IF(C53=4,M53*Habitat!$L$29,0)+IF(C53=5,M53*Habitat!$M$29,0)*IF(C53=7,M53*Habitat!$O$29,0)</f>
        <v>0</v>
      </c>
      <c r="S53">
        <f>IF(C53=1,M53*Habitat!$I$30,0)+IF(C53=2,M53*Habitat!$J$30,0)+IF(C53=3,M53*Habitat!$K$30,0)+IF(C53=4,M53*Habitat!$L$30,0)+IF(C53=5,M53*Habitat!$M$30,0)</f>
        <v>273.1614812296325</v>
      </c>
    </row>
    <row r="54" spans="1:19">
      <c r="A54">
        <f t="shared" si="13"/>
        <v>44</v>
      </c>
      <c r="B54" s="5">
        <f t="shared" si="5"/>
        <v>17</v>
      </c>
      <c r="C54" s="5"/>
      <c r="D54" s="56">
        <f>D53+Habitat!$C$16*4</f>
        <v>350</v>
      </c>
      <c r="E54" s="48">
        <f t="shared" ref="E54" si="31">IF(D54&lt;=$C$7,D53-$C$7,D54-$C$7)</f>
        <v>119</v>
      </c>
      <c r="F54" s="7">
        <f>Habitat!$D$13*D54</f>
        <v>9.8000000000000007</v>
      </c>
      <c r="G54" s="7">
        <f t="shared" ref="G54" si="32">IF(H54&gt;0,F54/9.8,0)</f>
        <v>1</v>
      </c>
      <c r="H54" s="3">
        <f t="shared" ref="H54" si="33">IF(E54&lt;=$C$5,SQRT($C$5^2-E54^2),0)</f>
        <v>65.840716885526092</v>
      </c>
      <c r="I54" s="3">
        <f t="shared" ref="I54" si="34">-K54/2</f>
        <v>-658.40716885526092</v>
      </c>
      <c r="J54" s="3">
        <f t="shared" ref="J54" si="35">(D53-$C$7)*10</f>
        <v>990</v>
      </c>
      <c r="K54" s="3">
        <f t="shared" ref="K54" si="36">H54*20</f>
        <v>1316.8143377105218</v>
      </c>
      <c r="L54" s="7">
        <f t="shared" ref="L54" si="37">IF(H54&gt;0,1,0)</f>
        <v>1</v>
      </c>
      <c r="M54" s="8">
        <f t="shared" ref="M54" si="38">PI()*H54*H54</f>
        <v>13618.804153311756</v>
      </c>
      <c r="N54" s="48">
        <f>IF(C54=1,M54*Habitat!$I$27,0)+IF(C54=2,M54*Habitat!$J$27,0)+IF(C54=3,M54*Habitat!$K$27,0)+IF(C54=4,M54*Habitat!$L$27,0)+IF(C54=5,M54*Habitat!$M$27,0)</f>
        <v>0</v>
      </c>
      <c r="O54" s="48">
        <f>IF(C54=1,M54*Habitat!$I$26,0)+IF(C54=2,M54*Habitat!$J$26,0)+IF(C54=3,M54*Habitat!$K$26,0)+IF(C54=4,M54*Habitat!$L$26,0)+IF(C54=5,M54*Habitat!$M$26,0)</f>
        <v>0</v>
      </c>
      <c r="P54" s="48">
        <f>IF(C54=1,M54*Habitat!$I$25,0)+IF(C54=2,M54*Habitat!$J$25,0)+IF(C54=3,M54*Habitat!$K$25,0)+IF(C54=4,M54*Habitat!$L$25,0)+IF(C54=5,M54*Habitat!$M$25,0)+IF(C54=6,M54*Habitat!$N$25,0)</f>
        <v>0</v>
      </c>
      <c r="Q54" s="48">
        <f>M54</f>
        <v>13618.804153311756</v>
      </c>
      <c r="R54" s="48">
        <f>IF(C54=1,M54*Habitat!$I$29,0)+IF(C54=2,M54*Habitat!$J$29,0)+IF(C54=3,M54*Habitat!$K$29,0)+IF(C54=4,M54*Habitat!$L$29,0)+IF(C54=5,M54*Habitat!$M$29,0)*IF(C54=7,M54*Habitat!$O$29,0)</f>
        <v>0</v>
      </c>
      <c r="S54">
        <f>IF(C54=1,M54*Habitat!$I$30,0)+IF(C54=2,M54*Habitat!$J$30,0)+IF(C54=3,M54*Habitat!$K$30,0)+IF(C54=4,M54*Habitat!$L$30,0)+IF(C54=5,M54*Habitat!$M$30,0)</f>
        <v>0</v>
      </c>
    </row>
    <row r="55" spans="1:19">
      <c r="A55">
        <f t="shared" si="13"/>
        <v>45</v>
      </c>
      <c r="B55" s="5">
        <f t="shared" si="5"/>
        <v>12</v>
      </c>
      <c r="C55" s="5">
        <v>3</v>
      </c>
      <c r="D55" s="56">
        <f>D54+Habitat!$C$16</f>
        <v>355</v>
      </c>
      <c r="E55" s="48">
        <f t="shared" si="20"/>
        <v>124</v>
      </c>
      <c r="F55" s="7">
        <f>Habitat!$D$13*D55</f>
        <v>9.94</v>
      </c>
      <c r="G55" s="7">
        <f t="shared" si="21"/>
        <v>1.0142857142857142</v>
      </c>
      <c r="H55" s="3">
        <f t="shared" si="22"/>
        <v>55.856960175075763</v>
      </c>
      <c r="I55" s="3">
        <f t="shared" si="15"/>
        <v>-558.56960175075767</v>
      </c>
      <c r="J55" s="3">
        <f t="shared" si="16"/>
        <v>1190</v>
      </c>
      <c r="K55" s="3">
        <f t="shared" si="17"/>
        <v>1117.1392035015153</v>
      </c>
      <c r="L55" s="7">
        <f t="shared" si="18"/>
        <v>1</v>
      </c>
      <c r="M55" s="8">
        <f t="shared" si="19"/>
        <v>9801.769079200154</v>
      </c>
      <c r="N55" s="48">
        <f>IF(C55=1,M55*Habitat!$I$27,0)+IF(C55=2,M55*Habitat!$J$27,0)+IF(C55=3,M55*Habitat!$K$27,0)+IF(C55=4,M55*Habitat!$L$27,0)+IF(C55=5,M55*Habitat!$M$27,0)</f>
        <v>0</v>
      </c>
      <c r="O55" s="48">
        <f>IF(C55=1,M55*Habitat!$I$26,0)+IF(C55=2,M55*Habitat!$J$26,0)+IF(C55=3,M55*Habitat!$K$26,0)+IF(C55=4,M55*Habitat!$L$26,0)+IF(C55=5,M55*Habitat!$M$26,0)</f>
        <v>0</v>
      </c>
      <c r="P55" s="48">
        <f>IF(C55=1,M55*Habitat!$I$25,0)+IF(C55=2,M55*Habitat!$J$25,0)+IF(C55=3,M55*Habitat!$K$25,0)+IF(C55=4,M55*Habitat!$L$25,0)+IF(C55=5,M55*Habitat!$M$25,0)+IF(C55=6,M55*Habitat!$N$25,0)</f>
        <v>0</v>
      </c>
      <c r="Q55" s="48">
        <f>IF(C55=1,M55*Habitat!$I$28,0)+IF(C55=2,M55*Habitat!$J$28,0)+IF(C55=3,M55*Habitat!$K$28,0)+IF(C55=4,M55*Habitat!$L$28,0)+IF(C55=5,M55*Habitat!$M$28,0)</f>
        <v>392.07076316800618</v>
      </c>
      <c r="R55" s="48">
        <f>IF(C55=1,M55*Habitat!$I$29,0)+IF(C55=2,M55*Habitat!$J$29,0)+IF(C55=3,M55*Habitat!$K$29,0)+IF(C55=4,M55*Habitat!$L$29,0)+IF(C55=5,M55*Habitat!$M$29,0)*IF(C55=7,M55*Habitat!$O$29,0)</f>
        <v>0</v>
      </c>
      <c r="S55">
        <f>IF(C55=1,M55*Habitat!$I$30,0)+IF(C55=2,M55*Habitat!$J$30,0)+IF(C55=3,M55*Habitat!$K$30,0)+IF(C55=4,M55*Habitat!$L$30,0)+IF(C55=5,M55*Habitat!$M$30,0)</f>
        <v>8625.5567896961347</v>
      </c>
    </row>
    <row r="56" spans="1:19">
      <c r="A56">
        <f t="shared" si="13"/>
        <v>46</v>
      </c>
      <c r="B56" s="5">
        <f t="shared" si="5"/>
        <v>7</v>
      </c>
      <c r="C56" s="5">
        <v>3</v>
      </c>
      <c r="D56" s="56">
        <f>D55+Habitat!$C$16</f>
        <v>360</v>
      </c>
      <c r="E56" s="48">
        <f t="shared" si="20"/>
        <v>129</v>
      </c>
      <c r="F56" s="7">
        <f>Habitat!$D$13*D56</f>
        <v>10.08</v>
      </c>
      <c r="G56" s="7">
        <f t="shared" si="21"/>
        <v>1.0285714285714285</v>
      </c>
      <c r="H56" s="3">
        <f t="shared" si="22"/>
        <v>43.069710934716056</v>
      </c>
      <c r="I56" s="3">
        <f t="shared" si="15"/>
        <v>-430.69710934716056</v>
      </c>
      <c r="J56" s="3">
        <f t="shared" si="16"/>
        <v>1240</v>
      </c>
      <c r="K56" s="3">
        <f t="shared" si="17"/>
        <v>861.39421869432113</v>
      </c>
      <c r="L56" s="7">
        <f t="shared" si="18"/>
        <v>1</v>
      </c>
      <c r="M56" s="8">
        <f t="shared" si="19"/>
        <v>5827.6543724090661</v>
      </c>
      <c r="N56" s="48">
        <f>IF(C56=1,M56*Habitat!$I$27,0)+IF(C56=2,M56*Habitat!$J$27,0)+IF(C56=3,M56*Habitat!$K$27,0)+IF(C56=4,M56*Habitat!$L$27,0)+IF(C56=5,M56*Habitat!$M$27,0)</f>
        <v>0</v>
      </c>
      <c r="O56" s="48">
        <f>IF(C56=1,M56*Habitat!$I$26,0)+IF(C56=2,M56*Habitat!$J$26,0)+IF(C56=3,M56*Habitat!$K$26,0)+IF(C56=4,M56*Habitat!$L$26,0)+IF(C56=5,M56*Habitat!$M$26,0)</f>
        <v>0</v>
      </c>
      <c r="P56" s="48">
        <f>IF(C56=1,M56*Habitat!$I$25,0)+IF(C56=2,M56*Habitat!$J$25,0)+IF(C56=3,M56*Habitat!$K$25,0)+IF(C56=4,M56*Habitat!$L$25,0)+IF(C56=5,M56*Habitat!$M$25,0)+IF(C56=6,M56*Habitat!$N$25,0)</f>
        <v>0</v>
      </c>
      <c r="Q56" s="48">
        <f>IF(C56=1,M56*Habitat!$I$28,0)+IF(C56=2,M56*Habitat!$J$28,0)+IF(C56=3,M56*Habitat!$K$28,0)+IF(C56=4,M56*Habitat!$L$28,0)+IF(C56=5,M56*Habitat!$M$28,0)</f>
        <v>233.10617489636266</v>
      </c>
      <c r="R56" s="48">
        <f>IF(C56=1,M56*Habitat!$I$29,0)+IF(C56=2,M56*Habitat!$J$29,0)+IF(C56=3,M56*Habitat!$K$29,0)+IF(C56=4,M56*Habitat!$L$29,0)+IF(C56=5,M56*Habitat!$M$29,0)*IF(C56=7,M56*Habitat!$O$29,0)</f>
        <v>0</v>
      </c>
      <c r="S56">
        <f>IF(C56=1,M56*Habitat!$I$30,0)+IF(C56=2,M56*Habitat!$J$30,0)+IF(C56=3,M56*Habitat!$K$30,0)+IF(C56=4,M56*Habitat!$L$30,0)+IF(C56=5,M56*Habitat!$M$30,0)</f>
        <v>5128.3358477199781</v>
      </c>
    </row>
    <row r="57" spans="1:19">
      <c r="A57">
        <f t="shared" si="13"/>
        <v>47</v>
      </c>
      <c r="B57" s="5">
        <f t="shared" si="5"/>
        <v>2</v>
      </c>
      <c r="C57" s="5">
        <v>1</v>
      </c>
      <c r="D57" s="56">
        <f>D56+Habitat!$C$16</f>
        <v>365</v>
      </c>
      <c r="E57" s="48">
        <f t="shared" si="20"/>
        <v>134</v>
      </c>
      <c r="F57" s="7">
        <f>Habitat!$D$13*D57</f>
        <v>10.220000000000001</v>
      </c>
      <c r="G57" s="7">
        <f t="shared" si="21"/>
        <v>1.0428571428571429</v>
      </c>
      <c r="H57" s="3">
        <f t="shared" si="22"/>
        <v>23.2379000772445</v>
      </c>
      <c r="I57" s="3">
        <f t="shared" si="15"/>
        <v>-232.37900077244501</v>
      </c>
      <c r="J57" s="3">
        <f t="shared" si="16"/>
        <v>1290</v>
      </c>
      <c r="K57" s="3">
        <f t="shared" si="17"/>
        <v>464.75800154489002</v>
      </c>
      <c r="L57" s="7">
        <f t="shared" si="18"/>
        <v>1</v>
      </c>
      <c r="M57" s="8">
        <f t="shared" si="19"/>
        <v>1696.4600329384882</v>
      </c>
      <c r="N57" s="48">
        <f>IF(C57=1,M57*Habitat!$I$27,0)+IF(C57=2,M57*Habitat!$J$27,0)+IF(C57=3,M57*Habitat!$K$27,0)+IF(C57=4,M57*Habitat!$L$27,0)+IF(C57=5,M57*Habitat!$M$27,0)</f>
        <v>1526.8140296446395</v>
      </c>
      <c r="O57" s="48">
        <f>IF(C57=1,M57*Habitat!$I$26,0)+IF(C57=2,M57*Habitat!$J$26,0)+IF(C57=3,M57*Habitat!$K$26,0)+IF(C57=4,M57*Habitat!$L$26,0)+IF(C57=5,M57*Habitat!$M$26,0)</f>
        <v>0</v>
      </c>
      <c r="P57" s="48">
        <f>IF(C57=1,M57*Habitat!$I$25,0)+IF(C57=2,M57*Habitat!$J$25,0)+IF(C57=3,M57*Habitat!$K$25,0)+IF(C57=4,M57*Habitat!$L$25,0)+IF(C57=5,M57*Habitat!$M$25,0)+IF(C57=6,M57*Habitat!$N$25,0)</f>
        <v>0</v>
      </c>
      <c r="Q57" s="48">
        <f>IF(C57=1,M57*Habitat!$I$28,0)+IF(C57=2,M57*Habitat!$J$28,0)+IF(C57=3,M57*Habitat!$K$28,0)+IF(C57=4,M57*Habitat!$L$28,0)+IF(C57=5,M57*Habitat!$M$28,0)</f>
        <v>16.964600329384883</v>
      </c>
      <c r="R57" s="48">
        <f>IF(C57=1,M57*Habitat!$I$29,0)+IF(C57=2,M57*Habitat!$J$29,0)+IF(C57=3,M57*Habitat!$K$29,0)+IF(C57=4,M57*Habitat!$L$29,0)+IF(C57=5,M57*Habitat!$M$29,0)*IF(C57=7,M57*Habitat!$O$29,0)</f>
        <v>0</v>
      </c>
      <c r="S57">
        <f>IF(C57=1,M57*Habitat!$I$30,0)+IF(C57=2,M57*Habitat!$J$30,0)+IF(C57=3,M57*Habitat!$K$30,0)+IF(C57=4,M57*Habitat!$L$30,0)+IF(C57=5,M57*Habitat!$M$30,0)</f>
        <v>16.964600329384883</v>
      </c>
    </row>
    <row r="58" spans="1:19">
      <c r="A58">
        <f t="shared" si="13"/>
        <v>48</v>
      </c>
      <c r="B58" s="5">
        <f t="shared" si="5"/>
        <v>3</v>
      </c>
      <c r="C58" s="5">
        <v>1</v>
      </c>
      <c r="D58" s="56">
        <f>D57+Habitat!$C$16</f>
        <v>370</v>
      </c>
      <c r="E58" s="48">
        <f t="shared" si="20"/>
        <v>139</v>
      </c>
      <c r="F58" s="7">
        <f>Habitat!$D$13*D58</f>
        <v>10.36</v>
      </c>
      <c r="G58" s="7">
        <f t="shared" si="21"/>
        <v>0</v>
      </c>
      <c r="H58" s="3">
        <f t="shared" si="22"/>
        <v>0</v>
      </c>
      <c r="I58" s="3">
        <f t="shared" si="15"/>
        <v>0</v>
      </c>
      <c r="J58" s="3">
        <f t="shared" si="16"/>
        <v>1340</v>
      </c>
      <c r="K58" s="3">
        <f t="shared" si="17"/>
        <v>0</v>
      </c>
      <c r="L58" s="7">
        <f t="shared" si="18"/>
        <v>0</v>
      </c>
      <c r="M58" s="8">
        <f t="shared" si="19"/>
        <v>0</v>
      </c>
      <c r="N58" s="48">
        <f>IF(C58=1,M58*Habitat!$I$27,0)+IF(C58=2,M58*Habitat!$J$27,0)+IF(C58=3,M58*Habitat!$K$27,0)+IF(C58=4,M58*Habitat!$L$27,0)+IF(C58=5,M58*Habitat!$M$27,0)</f>
        <v>0</v>
      </c>
      <c r="O58" s="48">
        <f>IF(C58=1,M58*Habitat!$I$26,0)+IF(C58=2,M58*Habitat!$J$26,0)+IF(C58=3,M58*Habitat!$K$26,0)+IF(C58=4,M58*Habitat!$L$26,0)+IF(C58=5,M58*Habitat!$M$26,0)</f>
        <v>0</v>
      </c>
      <c r="P58" s="48">
        <f>IF(C58=1,M58*Habitat!$I$25,0)+IF(C58=2,M58*Habitat!$J$25,0)+IF(C58=3,M58*Habitat!$K$25,0)+IF(C58=4,M58*Habitat!$L$25,0)+IF(C58=5,M58*Habitat!$M$25,0)+IF(C58=6,M58*Habitat!$N$25,0)</f>
        <v>0</v>
      </c>
      <c r="Q58" s="48">
        <f>IF(C58=1,M58*Habitat!$I$28,0)+IF(C58=2,M58*Habitat!$J$28,0)+IF(C58=3,M58*Habitat!$K$28,0)+IF(C58=4,M58*Habitat!$L$28,0)+IF(C58=5,M58*Habitat!$M$28,0)</f>
        <v>0</v>
      </c>
      <c r="R58" s="48">
        <f>IF(C58=1,M58*Habitat!$I$29,0)+IF(C58=2,M58*Habitat!$J$29,0)+IF(C58=3,M58*Habitat!$K$29,0)+IF(C58=4,M58*Habitat!$L$29,0)+IF(C58=5,M58*Habitat!$M$29,0)*IF(C58=7,M58*Habitat!$O$29,0)</f>
        <v>0</v>
      </c>
      <c r="S58">
        <f>IF(C58=1,M58*Habitat!$I$30,0)+IF(C58=2,M58*Habitat!$J$30,0)+IF(C58=3,M58*Habitat!$K$30,0)+IF(C58=4,M58*Habitat!$L$30,0)+IF(C58=5,M58*Habitat!$M$30,0)</f>
        <v>0</v>
      </c>
    </row>
    <row r="59" spans="1:19">
      <c r="A59">
        <f t="shared" si="13"/>
        <v>49</v>
      </c>
      <c r="B59" s="5">
        <f t="shared" si="5"/>
        <v>8</v>
      </c>
      <c r="C59" s="5">
        <v>1</v>
      </c>
      <c r="D59" s="56">
        <f>D58+Habitat!$C$16</f>
        <v>375</v>
      </c>
      <c r="E59" s="48">
        <f t="shared" si="20"/>
        <v>144</v>
      </c>
      <c r="F59" s="7">
        <f>Habitat!$D$13*D59</f>
        <v>10.5</v>
      </c>
      <c r="G59" s="7">
        <f t="shared" si="21"/>
        <v>0</v>
      </c>
      <c r="H59" s="3">
        <f t="shared" si="22"/>
        <v>0</v>
      </c>
      <c r="I59" s="3">
        <f t="shared" si="15"/>
        <v>0</v>
      </c>
      <c r="J59" s="3">
        <f t="shared" si="16"/>
        <v>1390</v>
      </c>
      <c r="K59" s="3">
        <f t="shared" si="17"/>
        <v>0</v>
      </c>
      <c r="L59" s="7">
        <f t="shared" si="18"/>
        <v>0</v>
      </c>
      <c r="M59" s="8">
        <f t="shared" si="19"/>
        <v>0</v>
      </c>
      <c r="N59" s="48">
        <f>IF(C59=1,M59*Habitat!$I$27,0)+IF(C59=2,M59*Habitat!$J$27,0)+IF(C59=3,M59*Habitat!$K$27,0)+IF(C59=4,M59*Habitat!$L$27,0)+IF(C59=5,M59*Habitat!$M$27,0)</f>
        <v>0</v>
      </c>
      <c r="O59" s="48">
        <f>IF(C59=1,M59*Habitat!$I$26,0)+IF(C59=2,M59*Habitat!$J$26,0)+IF(C59=3,M59*Habitat!$K$26,0)+IF(C59=4,M59*Habitat!$L$26,0)+IF(C59=5,M59*Habitat!$M$26,0)</f>
        <v>0</v>
      </c>
      <c r="P59" s="48">
        <f>IF(C59=1,M59*Habitat!$I$25,0)+IF(C59=2,M59*Habitat!$J$25,0)+IF(C59=3,M59*Habitat!$K$25,0)+IF(C59=4,M59*Habitat!$L$25,0)+IF(C59=5,M59*Habitat!$M$25,0)+IF(C59=6,M59*Habitat!$N$25,0)</f>
        <v>0</v>
      </c>
      <c r="Q59" s="48">
        <f>IF(C59=1,M59*Habitat!$I$28,0)+IF(C59=2,M59*Habitat!$J$28,0)+IF(C59=3,M59*Habitat!$K$28,0)+IF(C59=4,M59*Habitat!$L$28,0)+IF(C59=5,M59*Habitat!$M$28,0)</f>
        <v>0</v>
      </c>
      <c r="R59" s="48">
        <f>IF(C59=1,M59*Habitat!$I$29,0)+IF(C59=2,M59*Habitat!$J$29,0)+IF(C59=3,M59*Habitat!$K$29,0)+IF(C59=4,M59*Habitat!$L$29,0)+IF(C59=5,M59*Habitat!$M$29,0)*IF(C59=7,M59*Habitat!$O$29,0)</f>
        <v>0</v>
      </c>
      <c r="S59">
        <f>IF(C59=1,M59*Habitat!$I$30,0)+IF(C59=2,M59*Habitat!$J$30,0)+IF(C59=3,M59*Habitat!$K$30,0)+IF(C59=4,M59*Habitat!$L$30,0)+IF(C59=5,M59*Habitat!$M$30,0)</f>
        <v>0</v>
      </c>
    </row>
    <row r="60" spans="1:19">
      <c r="A60">
        <f t="shared" si="13"/>
        <v>50</v>
      </c>
      <c r="B60" s="5">
        <f t="shared" si="5"/>
        <v>13</v>
      </c>
      <c r="C60" s="5">
        <v>1</v>
      </c>
      <c r="D60" s="56">
        <f>D59+Habitat!$C$16</f>
        <v>380</v>
      </c>
      <c r="E60" s="48">
        <f t="shared" si="20"/>
        <v>149</v>
      </c>
      <c r="F60" s="7">
        <f>Habitat!$D$13*D60</f>
        <v>10.64</v>
      </c>
      <c r="G60" s="7">
        <f t="shared" si="21"/>
        <v>0</v>
      </c>
      <c r="H60" s="3">
        <f t="shared" si="22"/>
        <v>0</v>
      </c>
      <c r="I60" s="3">
        <f t="shared" si="15"/>
        <v>0</v>
      </c>
      <c r="J60" s="3">
        <f t="shared" si="16"/>
        <v>1440</v>
      </c>
      <c r="K60" s="3">
        <f t="shared" si="17"/>
        <v>0</v>
      </c>
      <c r="L60" s="7">
        <f t="shared" si="18"/>
        <v>0</v>
      </c>
      <c r="M60" s="8">
        <f t="shared" si="19"/>
        <v>0</v>
      </c>
      <c r="N60" s="48">
        <f>IF(C60=1,M60*Habitat!$I$27,0)+IF(C60=2,M60*Habitat!$J$27,0)+IF(C60=3,M60*Habitat!$K$27,0)+IF(C60=4,M60*Habitat!$L$27,0)+IF(C60=5,M60*Habitat!$M$27,0)</f>
        <v>0</v>
      </c>
      <c r="O60" s="48">
        <f>IF(C60=1,M60*Habitat!$I$26,0)+IF(C60=2,M60*Habitat!$J$26,0)+IF(C60=3,M60*Habitat!$K$26,0)+IF(C60=4,M60*Habitat!$L$26,0)+IF(C60=5,M60*Habitat!$M$26,0)</f>
        <v>0</v>
      </c>
      <c r="P60" s="48">
        <f>IF(C60=1,M60*Habitat!$I$25,0)+IF(C60=2,M60*Habitat!$J$25,0)+IF(C60=3,M60*Habitat!$K$25,0)+IF(C60=4,M60*Habitat!$L$25,0)+IF(C60=5,M60*Habitat!$M$25,0)+IF(C60=6,M60*Habitat!$N$25,0)</f>
        <v>0</v>
      </c>
      <c r="Q60" s="48">
        <f>IF(C60=1,M60*Habitat!$I$28,0)+IF(C60=2,M60*Habitat!$J$28,0)+IF(C60=3,M60*Habitat!$K$28,0)+IF(C60=4,M60*Habitat!$L$28,0)+IF(C60=5,M60*Habitat!$M$28,0)</f>
        <v>0</v>
      </c>
      <c r="R60" s="48">
        <f>IF(C60=1,M60*Habitat!$I$29,0)+IF(C60=2,M60*Habitat!$J$29,0)+IF(C60=3,M60*Habitat!$K$29,0)+IF(C60=4,M60*Habitat!$L$29,0)+IF(C60=5,M60*Habitat!$M$29,0)*IF(C60=7,M60*Habitat!$O$29,0)</f>
        <v>0</v>
      </c>
      <c r="S60">
        <f>IF(C60=1,M60*Habitat!$I$30,0)+IF(C60=2,M60*Habitat!$J$30,0)+IF(C60=3,M60*Habitat!$K$30,0)+IF(C60=4,M60*Habitat!$L$30,0)+IF(C60=5,M60*Habitat!$M$30,0)</f>
        <v>0</v>
      </c>
    </row>
    <row r="61" spans="1:19">
      <c r="A61">
        <f t="shared" si="13"/>
        <v>51</v>
      </c>
      <c r="B61" s="5">
        <f t="shared" si="5"/>
        <v>18</v>
      </c>
      <c r="C61" s="5">
        <v>1</v>
      </c>
      <c r="D61" s="56">
        <f>D60+Habitat!$C$16</f>
        <v>385</v>
      </c>
      <c r="E61" s="48">
        <f t="shared" si="20"/>
        <v>154</v>
      </c>
      <c r="F61" s="7">
        <f>Habitat!$D$13*D61</f>
        <v>10.78</v>
      </c>
      <c r="G61" s="7">
        <f t="shared" si="21"/>
        <v>0</v>
      </c>
      <c r="H61" s="3">
        <f t="shared" si="22"/>
        <v>0</v>
      </c>
      <c r="I61" s="3">
        <f t="shared" si="15"/>
        <v>0</v>
      </c>
      <c r="J61" s="3">
        <f t="shared" si="16"/>
        <v>1490</v>
      </c>
      <c r="K61" s="3">
        <f t="shared" si="17"/>
        <v>0</v>
      </c>
      <c r="L61" s="7">
        <f t="shared" si="18"/>
        <v>0</v>
      </c>
      <c r="M61" s="8">
        <f t="shared" si="19"/>
        <v>0</v>
      </c>
      <c r="N61" s="48">
        <f>IF(C61=1,M61*Habitat!$I$27,0)+IF(C61=2,M61*Habitat!$J$27,0)+IF(C61=3,M61*Habitat!$K$27,0)+IF(C61=4,M61*Habitat!$L$27,0)+IF(C61=5,M61*Habitat!$M$27,0)</f>
        <v>0</v>
      </c>
      <c r="O61" s="48">
        <f>IF(C61=1,M61*Habitat!$I$26,0)+IF(C61=2,M61*Habitat!$J$26,0)+IF(C61=3,M61*Habitat!$K$26,0)+IF(C61=4,M61*Habitat!$L$26,0)+IF(C61=5,M61*Habitat!$M$26,0)</f>
        <v>0</v>
      </c>
      <c r="P61" s="48">
        <f>IF(C61=1,M61*Habitat!$I$25,0)+IF(C61=2,M61*Habitat!$J$25,0)+IF(C61=3,M61*Habitat!$K$25,0)+IF(C61=4,M61*Habitat!$L$25,0)+IF(C61=5,M61*Habitat!$M$25,0)+IF(C61=6,M61*Habitat!$N$25,0)</f>
        <v>0</v>
      </c>
      <c r="Q61" s="48">
        <f>IF(C61=1,M61*Habitat!$I$28,0)+IF(C61=2,M61*Habitat!$J$28,0)+IF(C61=3,M61*Habitat!$K$28,0)+IF(C61=4,M61*Habitat!$L$28,0)+IF(C61=5,M61*Habitat!$M$28,0)</f>
        <v>0</v>
      </c>
      <c r="R61" s="48">
        <f>IF(C61=1,M61*Habitat!$I$29,0)+IF(C61=2,M61*Habitat!$J$29,0)+IF(C61=3,M61*Habitat!$K$29,0)+IF(C61=4,M61*Habitat!$L$29,0)+IF(C61=5,M61*Habitat!$M$29,0)*IF(C61=7,M61*Habitat!$O$29,0)</f>
        <v>0</v>
      </c>
      <c r="S61">
        <f>IF(C61=1,M61*Habitat!$I$30,0)+IF(C61=2,M61*Habitat!$J$30,0)+IF(C61=3,M61*Habitat!$K$30,0)+IF(C61=4,M61*Habitat!$L$30,0)+IF(C61=5,M61*Habitat!$M$30,0)</f>
        <v>0</v>
      </c>
    </row>
    <row r="62" spans="1:19">
      <c r="A62">
        <f t="shared" si="13"/>
        <v>52</v>
      </c>
      <c r="B62" s="5">
        <f t="shared" si="5"/>
        <v>23</v>
      </c>
      <c r="C62" s="5">
        <v>1</v>
      </c>
      <c r="D62" s="56">
        <f>D61+Habitat!$C$16</f>
        <v>390</v>
      </c>
      <c r="E62" s="48">
        <f t="shared" si="20"/>
        <v>159</v>
      </c>
      <c r="F62" s="7">
        <f>Habitat!$D$13*D62</f>
        <v>10.92</v>
      </c>
      <c r="G62" s="7">
        <f t="shared" si="21"/>
        <v>0</v>
      </c>
      <c r="H62" s="3">
        <f t="shared" si="22"/>
        <v>0</v>
      </c>
      <c r="I62" s="3">
        <f t="shared" si="15"/>
        <v>0</v>
      </c>
      <c r="J62" s="3">
        <f t="shared" si="16"/>
        <v>1540</v>
      </c>
      <c r="K62" s="3">
        <f t="shared" si="17"/>
        <v>0</v>
      </c>
      <c r="L62" s="7">
        <f t="shared" si="18"/>
        <v>0</v>
      </c>
      <c r="M62" s="8">
        <f t="shared" si="19"/>
        <v>0</v>
      </c>
      <c r="N62" s="48">
        <f>IF(C62=1,M62*Habitat!$I$27,0)+IF(C62=2,M62*Habitat!$J$27,0)+IF(C62=3,M62*Habitat!$K$27,0)+IF(C62=4,M62*Habitat!$L$27,0)+IF(C62=5,M62*Habitat!$M$27,0)</f>
        <v>0</v>
      </c>
      <c r="O62" s="48">
        <f>IF(C62=1,M62*Habitat!$I$26,0)+IF(C62=2,M62*Habitat!$J$26,0)+IF(C62=3,M62*Habitat!$K$26,0)+IF(C62=4,M62*Habitat!$L$26,0)+IF(C62=5,M62*Habitat!$M$26,0)</f>
        <v>0</v>
      </c>
      <c r="P62" s="48">
        <f>IF(C62=1,M62*Habitat!$I$25,0)+IF(C62=2,M62*Habitat!$J$25,0)+IF(C62=3,M62*Habitat!$K$25,0)+IF(C62=4,M62*Habitat!$L$25,0)+IF(C62=5,M62*Habitat!$M$25,0)+IF(C62=6,M62*Habitat!$N$25,0)</f>
        <v>0</v>
      </c>
      <c r="Q62" s="48">
        <f>IF(C62=1,M62*Habitat!$I$28,0)+IF(C62=2,M62*Habitat!$J$28,0)+IF(C62=3,M62*Habitat!$K$28,0)+IF(C62=4,M62*Habitat!$L$28,0)+IF(C62=5,M62*Habitat!$M$28,0)</f>
        <v>0</v>
      </c>
      <c r="R62" s="48">
        <f>IF(C62=1,M62*Habitat!$I$29,0)+IF(C62=2,M62*Habitat!$J$29,0)+IF(C62=3,M62*Habitat!$K$29,0)+IF(C62=4,M62*Habitat!$L$29,0)+IF(C62=5,M62*Habitat!$M$29,0)*IF(C62=7,M62*Habitat!$O$29,0)</f>
        <v>0</v>
      </c>
      <c r="S62">
        <f>IF(C62=1,M62*Habitat!$I$30,0)+IF(C62=2,M62*Habitat!$J$30,0)+IF(C62=3,M62*Habitat!$K$30,0)+IF(C62=4,M62*Habitat!$L$30,0)+IF(C62=5,M62*Habitat!$M$30,0)</f>
        <v>0</v>
      </c>
    </row>
    <row r="63" spans="1:19">
      <c r="A63">
        <f t="shared" si="13"/>
        <v>53</v>
      </c>
      <c r="B63" s="5">
        <f t="shared" si="5"/>
        <v>28</v>
      </c>
      <c r="C63" s="5">
        <v>1</v>
      </c>
      <c r="D63" s="56">
        <f>D62+Habitat!$C$16</f>
        <v>395</v>
      </c>
      <c r="E63" s="48">
        <f t="shared" si="20"/>
        <v>164</v>
      </c>
      <c r="F63" s="7">
        <f>Habitat!$D$13*D63</f>
        <v>11.06</v>
      </c>
      <c r="G63" s="7">
        <f t="shared" ref="G63:G66" si="39">IF(H63&gt;0,F63/9.8,0)</f>
        <v>0</v>
      </c>
      <c r="H63" s="3">
        <f t="shared" ref="H63:H66" si="40">IF(E63&lt;=$C$5,SQRT($C$5^2-E63^2),0)</f>
        <v>0</v>
      </c>
      <c r="I63" s="3">
        <f t="shared" si="15"/>
        <v>0</v>
      </c>
      <c r="J63" s="3">
        <f t="shared" si="16"/>
        <v>1590</v>
      </c>
      <c r="K63" s="3">
        <f t="shared" si="17"/>
        <v>0</v>
      </c>
      <c r="L63" s="7">
        <f t="shared" si="18"/>
        <v>0</v>
      </c>
      <c r="M63" s="8">
        <f t="shared" si="19"/>
        <v>0</v>
      </c>
      <c r="N63" s="48">
        <f>IF(C63=1,M63*Habitat!$I$27,0)+IF(C63=2,M63*Habitat!$J$27,0)+IF(C63=3,M63*Habitat!$K$27,0)+IF(C63=4,M63*Habitat!$L$27,0)+IF(C63=5,M63*Habitat!$M$27,0)</f>
        <v>0</v>
      </c>
      <c r="O63" s="48">
        <f>IF(C63=1,M63*Habitat!$I$26,0)+IF(C63=2,M63*Habitat!$J$26,0)+IF(C63=3,M63*Habitat!$K$26,0)+IF(C63=4,M63*Habitat!$L$26,0)+IF(C63=5,M63*Habitat!$M$26,0)</f>
        <v>0</v>
      </c>
      <c r="P63" s="48">
        <f>IF(C63=1,M63*Habitat!$I$25,0)+IF(C63=2,M63*Habitat!$J$25,0)+IF(C63=3,M63*Habitat!$K$25,0)+IF(C63=4,M63*Habitat!$L$25,0)+IF(C63=5,M63*Habitat!$M$25,0)+IF(C63=6,M63*Habitat!$N$25,0)</f>
        <v>0</v>
      </c>
      <c r="Q63" s="48">
        <f>IF(C63=1,M63*Habitat!$I$28,0)+IF(C63=2,M63*Habitat!$J$28,0)+IF(C63=3,M63*Habitat!$K$28,0)+IF(C63=4,M63*Habitat!$L$28,0)+IF(C63=5,M63*Habitat!$M$28,0)</f>
        <v>0</v>
      </c>
      <c r="R63" s="48">
        <f>IF(C63=1,M63*Habitat!$I$29,0)+IF(C63=2,M63*Habitat!$J$29,0)+IF(C63=3,M63*Habitat!$K$29,0)+IF(C63=4,M63*Habitat!$L$29,0)+IF(C63=5,M63*Habitat!$M$29,0)*IF(C63=7,M63*Habitat!$O$29,0)</f>
        <v>0</v>
      </c>
      <c r="S63">
        <f>IF(C63=1,M63*Habitat!$I$30,0)+IF(C63=2,M63*Habitat!$J$30,0)+IF(C63=3,M63*Habitat!$K$30,0)+IF(C63=4,M63*Habitat!$L$30,0)+IF(C63=5,M63*Habitat!$M$30,0)</f>
        <v>0</v>
      </c>
    </row>
    <row r="64" spans="1:19">
      <c r="A64">
        <f t="shared" si="13"/>
        <v>54</v>
      </c>
      <c r="B64" s="5">
        <f t="shared" si="5"/>
        <v>33</v>
      </c>
      <c r="C64" s="5">
        <v>1</v>
      </c>
      <c r="D64" s="56">
        <f>D63+Habitat!$C$16</f>
        <v>400</v>
      </c>
      <c r="E64" s="48">
        <f t="shared" si="20"/>
        <v>169</v>
      </c>
      <c r="F64" s="7">
        <f>Habitat!$D$13*D64</f>
        <v>11.200000000000001</v>
      </c>
      <c r="G64" s="7">
        <f t="shared" si="39"/>
        <v>0</v>
      </c>
      <c r="H64" s="3">
        <f t="shared" si="40"/>
        <v>0</v>
      </c>
      <c r="I64" s="3">
        <f t="shared" si="15"/>
        <v>0</v>
      </c>
      <c r="J64" s="3">
        <f t="shared" si="16"/>
        <v>1640</v>
      </c>
      <c r="K64" s="3">
        <f t="shared" si="17"/>
        <v>0</v>
      </c>
      <c r="L64" s="7">
        <f t="shared" si="18"/>
        <v>0</v>
      </c>
      <c r="M64" s="8">
        <f t="shared" si="19"/>
        <v>0</v>
      </c>
      <c r="N64" s="48">
        <f>IF(C64=1,M64*Habitat!$I$27,0)+IF(C64=2,M64*Habitat!$J$27,0)+IF(C64=3,M64*Habitat!$K$27,0)+IF(C64=4,M64*Habitat!$L$27,0)+IF(C64=5,M64*Habitat!$M$27,0)</f>
        <v>0</v>
      </c>
      <c r="O64" s="48">
        <f>IF(C64=1,M64*Habitat!$I$26,0)+IF(C64=2,M64*Habitat!$J$26,0)+IF(C64=3,M64*Habitat!$K$26,0)+IF(C64=4,M64*Habitat!$L$26,0)+IF(C64=5,M64*Habitat!$M$26,0)</f>
        <v>0</v>
      </c>
      <c r="P64" s="48">
        <f>IF(C64=1,M64*Habitat!$I$25,0)+IF(C64=2,M64*Habitat!$J$25,0)+IF(C64=3,M64*Habitat!$K$25,0)+IF(C64=4,M64*Habitat!$L$25,0)+IF(C64=5,M64*Habitat!$M$25,0)+IF(C64=6,M64*Habitat!$N$25,0)</f>
        <v>0</v>
      </c>
      <c r="Q64" s="48">
        <f>IF(C64=1,M64*Habitat!$I$28,0)+IF(C64=2,M64*Habitat!$J$28,0)+IF(C64=3,M64*Habitat!$K$28,0)+IF(C64=4,M64*Habitat!$L$28,0)+IF(C64=5,M64*Habitat!$M$28,0)</f>
        <v>0</v>
      </c>
      <c r="R64" s="48">
        <f>IF(C64=1,M64*Habitat!$I$29,0)+IF(C64=2,M64*Habitat!$J$29,0)+IF(C64=3,M64*Habitat!$K$29,0)+IF(C64=4,M64*Habitat!$L$29,0)+IF(C64=5,M64*Habitat!$M$29,0)*IF(C64=7,M64*Habitat!$O$29,0)</f>
        <v>0</v>
      </c>
      <c r="S64">
        <f>IF(C64=1,M64*Habitat!$I$30,0)+IF(C64=2,M64*Habitat!$J$30,0)+IF(C64=3,M64*Habitat!$K$30,0)+IF(C64=4,M64*Habitat!$L$30,0)+IF(C64=5,M64*Habitat!$M$30,0)</f>
        <v>0</v>
      </c>
    </row>
    <row r="65" spans="1:19">
      <c r="A65">
        <f t="shared" si="13"/>
        <v>55</v>
      </c>
      <c r="B65" s="5">
        <f t="shared" si="5"/>
        <v>38</v>
      </c>
      <c r="C65" s="5">
        <v>1</v>
      </c>
      <c r="D65" s="56">
        <f>D64+Habitat!$C$16</f>
        <v>405</v>
      </c>
      <c r="E65" s="48">
        <f t="shared" si="20"/>
        <v>174</v>
      </c>
      <c r="F65" s="7">
        <f>Habitat!$D$13*D65</f>
        <v>11.34</v>
      </c>
      <c r="G65" s="7">
        <f t="shared" si="39"/>
        <v>0</v>
      </c>
      <c r="H65" s="3">
        <f>IF(E65&lt;=$C$5,SQRT($C$5^2-E65^2),0)</f>
        <v>0</v>
      </c>
      <c r="I65" s="3">
        <f t="shared" si="15"/>
        <v>0</v>
      </c>
      <c r="J65" s="3">
        <f t="shared" si="16"/>
        <v>1690</v>
      </c>
      <c r="K65" s="3">
        <f t="shared" si="17"/>
        <v>0</v>
      </c>
      <c r="L65" s="7">
        <f t="shared" si="18"/>
        <v>0</v>
      </c>
      <c r="M65" s="8">
        <f t="shared" si="19"/>
        <v>0</v>
      </c>
      <c r="N65" s="48">
        <f>IF(C65=1,M65*Habitat!$I$27,0)+IF(C65=2,M65*Habitat!$J$27,0)+IF(C65=3,M65*Habitat!$K$27,0)+IF(C65=4,M65*Habitat!$L$27,0)+IF(C65=5,M65*Habitat!$M$27,0)</f>
        <v>0</v>
      </c>
      <c r="O65" s="48">
        <f>IF(C65=1,M65*Habitat!$I$26,0)+IF(C65=2,M65*Habitat!$J$26,0)+IF(C65=3,M65*Habitat!$K$26,0)+IF(C65=4,M65*Habitat!$L$26,0)+IF(C65=5,M65*Habitat!$M$26,0)</f>
        <v>0</v>
      </c>
      <c r="P65" s="48">
        <f>IF(C65=1,M65*Habitat!$I$25,0)+IF(C65=2,M65*Habitat!$J$25,0)+IF(C65=3,M65*Habitat!$K$25,0)+IF(C65=4,M65*Habitat!$L$25,0)+IF(C65=5,M65*Habitat!$M$25,0)+IF(C65=6,M65*Habitat!$N$25,0)</f>
        <v>0</v>
      </c>
      <c r="Q65" s="48">
        <f>IF(C65=1,M65*Habitat!$I$28,0)+IF(C65=2,M65*Habitat!$J$28,0)+IF(C65=3,M65*Habitat!$K$28,0)+IF(C65=4,M65*Habitat!$L$28,0)+IF(C65=5,M65*Habitat!$M$28,0)</f>
        <v>0</v>
      </c>
      <c r="R65" s="48">
        <f>IF(C65=1,M65*Habitat!$I$29,0)+IF(C65=2,M65*Habitat!$J$29,0)+IF(C65=3,M65*Habitat!$K$29,0)+IF(C65=4,M65*Habitat!$L$29,0)+IF(C65=5,M65*Habitat!$M$29,0)*IF(C65=7,M65*Habitat!$O$29,0)</f>
        <v>0</v>
      </c>
      <c r="S65">
        <f>IF(C65=1,M65*Habitat!$I$30,0)+IF(C65=2,M65*Habitat!$J$30,0)+IF(C65=3,M65*Habitat!$K$30,0)+IF(C65=4,M65*Habitat!$L$30,0)+IF(C65=5,M65*Habitat!$M$30,0)</f>
        <v>0</v>
      </c>
    </row>
    <row r="66" spans="1:19">
      <c r="A66">
        <f t="shared" si="13"/>
        <v>56</v>
      </c>
      <c r="B66" s="5">
        <f t="shared" si="5"/>
        <v>43</v>
      </c>
      <c r="C66" s="5">
        <v>1</v>
      </c>
      <c r="D66" s="56">
        <f>D65+Habitat!$C$16</f>
        <v>410</v>
      </c>
      <c r="E66" s="48">
        <f t="shared" si="20"/>
        <v>179</v>
      </c>
      <c r="F66" s="7">
        <f>Habitat!$D$13*D66</f>
        <v>11.48</v>
      </c>
      <c r="G66" s="7">
        <f t="shared" si="39"/>
        <v>0</v>
      </c>
      <c r="H66" s="3">
        <f t="shared" si="40"/>
        <v>0</v>
      </c>
      <c r="I66" s="3">
        <f t="shared" si="15"/>
        <v>0</v>
      </c>
      <c r="J66" s="3">
        <f t="shared" si="16"/>
        <v>1740</v>
      </c>
      <c r="K66" s="3">
        <f t="shared" si="17"/>
        <v>0</v>
      </c>
      <c r="L66" s="7">
        <f t="shared" si="18"/>
        <v>0</v>
      </c>
      <c r="M66" s="8">
        <f t="shared" si="19"/>
        <v>0</v>
      </c>
      <c r="N66" s="48">
        <f>IF(C66=1,M66*Habitat!$I$27,0)+IF(C66=2,M66*Habitat!$J$27,0)+IF(C66=3,M66*Habitat!$K$27,0)+IF(C66=4,M66*Habitat!$L$27,0)+IF(C66=5,M66*Habitat!$M$27,0)</f>
        <v>0</v>
      </c>
      <c r="O66" s="48">
        <f>IF(C66=1,M66*Habitat!$I$26,0)+IF(C66=2,M66*Habitat!$J$26,0)+IF(C66=3,M66*Habitat!$K$26,0)+IF(C66=4,M66*Habitat!$L$26,0)+IF(C66=5,M66*Habitat!$M$26,0)</f>
        <v>0</v>
      </c>
      <c r="P66" s="48">
        <f>IF(C66=1,M66*Habitat!$I$25,0)+IF(C66=2,M66*Habitat!$J$25,0)+IF(C66=3,M66*Habitat!$K$25,0)+IF(C66=4,M66*Habitat!$L$25,0)+IF(C66=5,M66*Habitat!$M$25,0)+IF(C66=6,M66*Habitat!$N$25,0)</f>
        <v>0</v>
      </c>
      <c r="Q66" s="48">
        <f>IF(C66=1,M66*Habitat!$I$28,0)+IF(C66=2,M66*Habitat!$J$28,0)+IF(C66=3,M66*Habitat!$K$28,0)+IF(C66=4,M66*Habitat!$L$28,0)+IF(C66=5,M66*Habitat!$M$28,0)</f>
        <v>0</v>
      </c>
      <c r="R66" s="48">
        <f>IF(C66=1,M66*Habitat!$I$29,0)+IF(C66=2,M66*Habitat!$J$29,0)+IF(C66=3,M66*Habitat!$K$29,0)+IF(C66=4,M66*Habitat!$L$29,0)+IF(C66=5,M66*Habitat!$M$29,0)*IF(C66=7,M66*Habitat!$O$29,0)</f>
        <v>0</v>
      </c>
      <c r="S66">
        <f>IF(C66=1,M66*Habitat!$I$30,0)+IF(C66=2,M66*Habitat!$J$30,0)+IF(C66=3,M66*Habitat!$K$30,0)+IF(C66=4,M66*Habitat!$L$30,0)+IF(C66=5,M66*Habitat!$M$30,0)</f>
        <v>0</v>
      </c>
    </row>
    <row r="67" spans="1:19">
      <c r="A67">
        <f t="shared" si="13"/>
        <v>57</v>
      </c>
      <c r="B67" s="5">
        <f t="shared" si="5"/>
        <v>48</v>
      </c>
      <c r="C67" s="5">
        <v>1</v>
      </c>
      <c r="D67" s="56">
        <f>D66+Habitat!$C$16</f>
        <v>415</v>
      </c>
      <c r="E67" s="48">
        <f t="shared" si="20"/>
        <v>184</v>
      </c>
      <c r="F67" s="3">
        <f>Habitat!$D$13*D67</f>
        <v>11.620000000000001</v>
      </c>
      <c r="G67" s="3">
        <f t="shared" si="7"/>
        <v>0</v>
      </c>
      <c r="H67" s="3">
        <f t="shared" ref="H67:H74" si="41">IF(E67&lt;=$C$5,SQRT($C$5^2-E67^2),0)</f>
        <v>0</v>
      </c>
      <c r="I67" s="3">
        <f t="shared" si="15"/>
        <v>0</v>
      </c>
      <c r="J67" s="3">
        <f t="shared" si="16"/>
        <v>1790</v>
      </c>
      <c r="K67" s="3">
        <f t="shared" si="17"/>
        <v>0</v>
      </c>
      <c r="L67" s="7">
        <f t="shared" si="18"/>
        <v>0</v>
      </c>
      <c r="M67" s="8">
        <f t="shared" si="19"/>
        <v>0</v>
      </c>
      <c r="N67" s="48">
        <f>IF(C67=1,M67*Habitat!$I$27,0)+IF(C67=2,M67*Habitat!$J$27,0)+IF(C67=3,M67*Habitat!$K$27,0)+IF(C67=4,M67*Habitat!$L$27,0)+IF(C67=5,M67*Habitat!$M$27,0)</f>
        <v>0</v>
      </c>
      <c r="O67" s="48">
        <f>IF(C67=1,M67*Habitat!$I$26,0)+IF(C67=2,M67*Habitat!$J$26,0)+IF(C67=3,M67*Habitat!$K$26,0)+IF(C67=4,M67*Habitat!$L$26,0)+IF(C67=5,M67*Habitat!$M$26,0)</f>
        <v>0</v>
      </c>
      <c r="P67" s="48">
        <f>IF(C67=1,M67*Habitat!$I$25,0)+IF(C67=2,M67*Habitat!$J$25,0)+IF(C67=3,M67*Habitat!$K$25,0)+IF(C67=4,M67*Habitat!$L$25,0)+IF(C67=5,M67*Habitat!$M$25,0)+IF(C67=6,M67*Habitat!$N$25,0)</f>
        <v>0</v>
      </c>
      <c r="Q67" s="48">
        <f>IF(C67=1,M67*Habitat!$I$28,0)+IF(C67=2,M67*Habitat!$J$28,0)+IF(C67=3,M67*Habitat!$K$28,0)+IF(C67=4,M67*Habitat!$L$28,0)+IF(C67=5,M67*Habitat!$M$28,0)</f>
        <v>0</v>
      </c>
      <c r="R67" s="48">
        <f>IF(C67=1,M67*Habitat!$I$29,0)+IF(C67=2,M67*Habitat!$J$29,0)+IF(C67=3,M67*Habitat!$K$29,0)+IF(C67=4,M67*Habitat!$L$29,0)+IF(C67=5,M67*Habitat!$M$29,0)*IF(C67=7,M67*Habitat!$O$29,0)</f>
        <v>0</v>
      </c>
      <c r="S67">
        <f>IF(C67=1,M67*Habitat!$I$30,0)+IF(C67=2,M67*Habitat!$J$30,0)+IF(C67=3,M67*Habitat!$K$30,0)+IF(C67=4,M67*Habitat!$L$30,0)+IF(C67=5,M67*Habitat!$M$30,0)</f>
        <v>0</v>
      </c>
    </row>
    <row r="68" spans="1:19">
      <c r="A68">
        <f t="shared" si="13"/>
        <v>58</v>
      </c>
      <c r="B68" s="5">
        <f t="shared" si="5"/>
        <v>53</v>
      </c>
      <c r="C68" s="5">
        <v>1</v>
      </c>
      <c r="D68" s="56">
        <f>D67+Habitat!$C$16</f>
        <v>420</v>
      </c>
      <c r="E68" s="48">
        <f t="shared" si="20"/>
        <v>189</v>
      </c>
      <c r="F68" s="3">
        <f>Habitat!$D$13*D68</f>
        <v>11.76</v>
      </c>
      <c r="G68" s="3">
        <f t="shared" si="7"/>
        <v>0</v>
      </c>
      <c r="H68" s="3">
        <f t="shared" si="41"/>
        <v>0</v>
      </c>
      <c r="I68" s="3">
        <f t="shared" si="15"/>
        <v>0</v>
      </c>
      <c r="J68" s="3">
        <f t="shared" si="16"/>
        <v>1840</v>
      </c>
      <c r="K68" s="3">
        <f t="shared" si="17"/>
        <v>0</v>
      </c>
      <c r="L68" s="7">
        <f t="shared" si="18"/>
        <v>0</v>
      </c>
      <c r="M68" s="8">
        <f t="shared" si="19"/>
        <v>0</v>
      </c>
      <c r="N68" s="48">
        <f>IF(C68=1,M68*Habitat!$I$27,0)+IF(C68=2,M68*Habitat!$J$27,0)+IF(C68=3,M68*Habitat!$K$27,0)+IF(C68=4,M68*Habitat!$L$27,0)+IF(C68=5,M68*Habitat!$M$27,0)</f>
        <v>0</v>
      </c>
      <c r="O68" s="48">
        <f>IF(C68=1,M68*Habitat!$I$26,0)+IF(C68=2,M68*Habitat!$J$26,0)+IF(C68=3,M68*Habitat!$K$26,0)+IF(C68=4,M68*Habitat!$L$26,0)+IF(C68=5,M68*Habitat!$M$26,0)</f>
        <v>0</v>
      </c>
      <c r="P68" s="48">
        <f>IF(C68=1,M68*Habitat!$I$25,0)+IF(C68=2,M68*Habitat!$J$25,0)+IF(C68=3,M68*Habitat!$K$25,0)+IF(C68=4,M68*Habitat!$L$25,0)+IF(C68=5,M68*Habitat!$M$25,0)+IF(C68=6,M68*Habitat!$N$25,0)</f>
        <v>0</v>
      </c>
      <c r="Q68" s="48">
        <f>IF(C68=1,M68*Habitat!$I$28,0)+IF(C68=2,M68*Habitat!$J$28,0)+IF(C68=3,M68*Habitat!$K$28,0)+IF(C68=4,M68*Habitat!$L$28,0)+IF(C68=5,M68*Habitat!$M$28,0)</f>
        <v>0</v>
      </c>
      <c r="R68" s="48">
        <f>IF(C68=1,M68*Habitat!$I$29,0)+IF(C68=2,M68*Habitat!$J$29,0)+IF(C68=3,M68*Habitat!$K$29,0)+IF(C68=4,M68*Habitat!$L$29,0)+IF(C68=5,M68*Habitat!$M$29,0)*IF(C68=7,M68*Habitat!$O$29,0)</f>
        <v>0</v>
      </c>
      <c r="S68">
        <f>IF(C68=1,M68*Habitat!$I$30,0)+IF(C68=2,M68*Habitat!$J$30,0)+IF(C68=3,M68*Habitat!$K$30,0)+IF(C68=4,M68*Habitat!$L$30,0)+IF(C68=5,M68*Habitat!$M$30,0)</f>
        <v>0</v>
      </c>
    </row>
    <row r="69" spans="1:19">
      <c r="A69">
        <f t="shared" si="13"/>
        <v>59</v>
      </c>
      <c r="B69" s="5">
        <f t="shared" si="5"/>
        <v>58</v>
      </c>
      <c r="C69" s="5">
        <v>1</v>
      </c>
      <c r="D69" s="56">
        <f>D68+Habitat!$C$16</f>
        <v>425</v>
      </c>
      <c r="E69" s="48">
        <f t="shared" si="20"/>
        <v>194</v>
      </c>
      <c r="F69" s="3">
        <f>Habitat!$D$13*D69</f>
        <v>11.9</v>
      </c>
      <c r="G69" s="3">
        <f t="shared" si="7"/>
        <v>0</v>
      </c>
      <c r="H69" s="3">
        <f t="shared" si="41"/>
        <v>0</v>
      </c>
      <c r="I69" s="3">
        <f t="shared" si="15"/>
        <v>0</v>
      </c>
      <c r="J69" s="3">
        <f t="shared" si="16"/>
        <v>1890</v>
      </c>
      <c r="K69" s="3">
        <f t="shared" si="17"/>
        <v>0</v>
      </c>
      <c r="L69" s="7">
        <f t="shared" si="18"/>
        <v>0</v>
      </c>
      <c r="M69" s="8">
        <f t="shared" si="19"/>
        <v>0</v>
      </c>
      <c r="N69" s="48">
        <f>IF(C69=1,M69*Habitat!$I$27,0)+IF(C69=2,M69*Habitat!$J$27,0)+IF(C69=3,M69*Habitat!$K$27,0)+IF(C69=4,M69*Habitat!$L$27,0)+IF(C69=5,M69*Habitat!$M$27,0)</f>
        <v>0</v>
      </c>
      <c r="O69" s="48">
        <f>IF(C69=1,M69*Habitat!$I$26,0)+IF(C69=2,M69*Habitat!$J$26,0)+IF(C69=3,M69*Habitat!$K$26,0)+IF(C69=4,M69*Habitat!$L$26,0)+IF(C69=5,M69*Habitat!$M$26,0)</f>
        <v>0</v>
      </c>
      <c r="P69" s="48">
        <f>IF(C69=1,M69*Habitat!$I$25,0)+IF(C69=2,M69*Habitat!$J$25,0)+IF(C69=3,M69*Habitat!$K$25,0)+IF(C69=4,M69*Habitat!$L$25,0)+IF(C69=5,M69*Habitat!$M$25,0)+IF(C69=6,M69*Habitat!$N$25,0)</f>
        <v>0</v>
      </c>
      <c r="Q69" s="48">
        <f>IF(C69=1,M69*Habitat!$I$28,0)+IF(C69=2,M69*Habitat!$J$28,0)+IF(C69=3,M69*Habitat!$K$28,0)+IF(C69=4,M69*Habitat!$L$28,0)+IF(C69=5,M69*Habitat!$M$28,0)</f>
        <v>0</v>
      </c>
      <c r="R69" s="48">
        <f>IF(C69=1,M69*Habitat!$I$29,0)+IF(C69=2,M69*Habitat!$J$29,0)+IF(C69=3,M69*Habitat!$K$29,0)+IF(C69=4,M69*Habitat!$L$29,0)+IF(C69=5,M69*Habitat!$M$29,0)*IF(C69=7,M69*Habitat!$O$29,0)</f>
        <v>0</v>
      </c>
      <c r="S69">
        <f>IF(C69=1,M69*Habitat!$I$30,0)+IF(C69=2,M69*Habitat!$J$30,0)+IF(C69=3,M69*Habitat!$K$30,0)+IF(C69=4,M69*Habitat!$L$30,0)+IF(C69=5,M69*Habitat!$M$30,0)</f>
        <v>0</v>
      </c>
    </row>
    <row r="70" spans="1:19">
      <c r="A70">
        <f t="shared" si="13"/>
        <v>60</v>
      </c>
      <c r="C70" s="5">
        <v>3</v>
      </c>
      <c r="D70" s="56">
        <f>D69+Habitat!$C$16</f>
        <v>430</v>
      </c>
      <c r="E70" s="48">
        <f t="shared" si="20"/>
        <v>199</v>
      </c>
      <c r="F70" s="3">
        <f>Habitat!$D$13*D70</f>
        <v>12.040000000000001</v>
      </c>
      <c r="G70" s="3">
        <f t="shared" si="7"/>
        <v>0</v>
      </c>
      <c r="H70" s="3">
        <f t="shared" si="41"/>
        <v>0</v>
      </c>
      <c r="I70" s="3">
        <f t="shared" si="15"/>
        <v>0</v>
      </c>
      <c r="J70" s="3">
        <f t="shared" si="16"/>
        <v>1940</v>
      </c>
      <c r="K70" s="3">
        <f t="shared" si="17"/>
        <v>0</v>
      </c>
      <c r="L70" s="7">
        <f t="shared" si="18"/>
        <v>0</v>
      </c>
      <c r="M70" s="8">
        <f t="shared" si="19"/>
        <v>0</v>
      </c>
      <c r="N70" s="48">
        <f>IF(C70=1,M70*Habitat!$I$27,0)+IF(C70=2,M70*Habitat!$J$27,0)+IF(C70=3,M70*Habitat!$K$27,0)+IF(C70=4,M70*Habitat!$L$27,0)+IF(C70=5,M70*Habitat!$M$27,0)</f>
        <v>0</v>
      </c>
      <c r="O70" s="48">
        <f>IF(C70=1,M70*Habitat!$I$26,0)+IF(C70=2,M70*Habitat!$J$26,0)+IF(C70=3,M70*Habitat!$K$26,0)+IF(C70=4,M70*Habitat!$L$26,0)+IF(C70=5,M70*Habitat!$M$26,0)</f>
        <v>0</v>
      </c>
      <c r="P70" s="48">
        <f>IF(C70=1,M70*Habitat!$I$25,0)+IF(C70=2,M70*Habitat!$J$25,0)+IF(C70=3,M70*Habitat!$K$25,0)+IF(C70=4,M70*Habitat!$L$25,0)+IF(C70=5,M70*Habitat!$M$25,0)+IF(C70=6,M70*Habitat!$N$25,0)</f>
        <v>0</v>
      </c>
      <c r="Q70" s="48">
        <f>IF(C70=1,M70*Habitat!$I$28,0)+IF(C70=2,M70*Habitat!$J$28,0)+IF(C70=3,M70*Habitat!$K$28,0)+IF(C70=4,M70*Habitat!$L$28,0)+IF(C70=5,M70*Habitat!$M$28,0)</f>
        <v>0</v>
      </c>
      <c r="R70" s="48">
        <f>IF(C70=1,M70*Habitat!$I$29,0)+IF(C70=2,M70*Habitat!$J$29,0)+IF(C70=3,M70*Habitat!$K$29,0)+IF(C70=4,M70*Habitat!$L$29,0)+IF(C70=5,M70*Habitat!$M$29,0)*IF(C70=7,M70*Habitat!$O$29,0)</f>
        <v>0</v>
      </c>
      <c r="S70">
        <f>IF(C70=1,M70*Habitat!$I$30,0)+IF(C70=2,M70*Habitat!$J$30,0)+IF(C70=3,M70*Habitat!$K$30,0)+IF(C70=4,M70*Habitat!$L$30,0)+IF(C70=5,M70*Habitat!$M$30,0)</f>
        <v>0</v>
      </c>
    </row>
    <row r="71" spans="1:19">
      <c r="A71">
        <f t="shared" si="13"/>
        <v>61</v>
      </c>
      <c r="C71" s="5">
        <v>3</v>
      </c>
      <c r="D71" s="56">
        <f>D70+Habitat!$C$16</f>
        <v>435</v>
      </c>
      <c r="E71" s="48">
        <f t="shared" si="20"/>
        <v>204</v>
      </c>
      <c r="F71" s="3">
        <f>Habitat!$D$13*D71</f>
        <v>12.18</v>
      </c>
      <c r="G71" s="3">
        <f t="shared" si="7"/>
        <v>0</v>
      </c>
      <c r="H71" s="3">
        <f t="shared" si="41"/>
        <v>0</v>
      </c>
      <c r="I71" s="3">
        <f t="shared" si="15"/>
        <v>0</v>
      </c>
      <c r="J71" s="3">
        <f t="shared" si="16"/>
        <v>1990</v>
      </c>
      <c r="K71" s="3">
        <f t="shared" si="17"/>
        <v>0</v>
      </c>
      <c r="L71" s="7">
        <f t="shared" si="18"/>
        <v>0</v>
      </c>
      <c r="M71" s="8">
        <f t="shared" si="19"/>
        <v>0</v>
      </c>
      <c r="N71" s="48">
        <f>IF(C71=1,M71*Habitat!$I$27,0)+IF(C71=2,M71*Habitat!$J$27,0)+IF(C71=3,M71*Habitat!$K$27,0)+IF(C71=4,M71*Habitat!$L$27,0)+IF(C71=5,M71*Habitat!$M$27,0)</f>
        <v>0</v>
      </c>
      <c r="O71" s="48">
        <f>IF(C71=1,M71*Habitat!$I$26,0)+IF(C71=2,M71*Habitat!$J$26,0)+IF(C71=3,M71*Habitat!$K$26,0)+IF(C71=4,M71*Habitat!$L$26,0)+IF(C71=5,M71*Habitat!$M$26,0)</f>
        <v>0</v>
      </c>
      <c r="P71" s="48">
        <f>IF(C71=1,M71*Habitat!$I$25,0)+IF(C71=2,M71*Habitat!$J$25,0)+IF(C71=3,M71*Habitat!$K$25,0)+IF(C71=4,M71*Habitat!$L$25,0)+IF(C71=5,M71*Habitat!$M$25,0)+IF(C71=6,M71*Habitat!$N$25,0)</f>
        <v>0</v>
      </c>
      <c r="Q71" s="48">
        <f>IF(C71=1,M71*Habitat!$I$28,0)+IF(C71=2,M71*Habitat!$J$28,0)+IF(C71=3,M71*Habitat!$K$28,0)+IF(C71=4,M71*Habitat!$L$28,0)+IF(C71=5,M71*Habitat!$M$28,0)</f>
        <v>0</v>
      </c>
      <c r="R71" s="48">
        <f>IF(C71=1,M71*Habitat!$I$29,0)+IF(C71=2,M71*Habitat!$J$29,0)+IF(C71=3,M71*Habitat!$K$29,0)+IF(C71=4,M71*Habitat!$L$29,0)+IF(C71=5,M71*Habitat!$M$29,0)*IF(C71=7,M71*Habitat!$O$29,0)</f>
        <v>0</v>
      </c>
      <c r="S71">
        <f>IF(C71=1,M71*Habitat!$I$30,0)+IF(C71=2,M71*Habitat!$J$30,0)+IF(C71=3,M71*Habitat!$K$30,0)+IF(C71=4,M71*Habitat!$L$30,0)+IF(C71=5,M71*Habitat!$M$30,0)</f>
        <v>0</v>
      </c>
    </row>
    <row r="72" spans="1:19">
      <c r="A72">
        <f t="shared" si="13"/>
        <v>62</v>
      </c>
      <c r="C72" s="5">
        <v>3</v>
      </c>
      <c r="D72" s="56">
        <f>D71+Habitat!$C$16</f>
        <v>440</v>
      </c>
      <c r="E72" s="48">
        <f t="shared" si="20"/>
        <v>209</v>
      </c>
      <c r="F72" s="3">
        <f>Habitat!$D$13*D72</f>
        <v>12.32</v>
      </c>
      <c r="G72" s="3">
        <f t="shared" si="7"/>
        <v>0</v>
      </c>
      <c r="H72" s="3">
        <f t="shared" si="41"/>
        <v>0</v>
      </c>
      <c r="I72" s="3">
        <f t="shared" si="15"/>
        <v>0</v>
      </c>
      <c r="J72" s="3">
        <f t="shared" si="16"/>
        <v>2040</v>
      </c>
      <c r="K72" s="3">
        <f t="shared" si="17"/>
        <v>0</v>
      </c>
      <c r="L72" s="7">
        <f t="shared" si="18"/>
        <v>0</v>
      </c>
      <c r="M72" s="8">
        <f t="shared" si="19"/>
        <v>0</v>
      </c>
      <c r="N72" s="48">
        <f>IF(C72=1,M72*Habitat!$I$27,0)+IF(C72=2,M72*Habitat!$J$27,0)+IF(C72=3,M72*Habitat!$K$27,0)+IF(C72=4,M72*Habitat!$L$27,0)+IF(C72=5,M72*Habitat!$M$27,0)</f>
        <v>0</v>
      </c>
      <c r="O72" s="48">
        <f>IF(C72=1,M72*Habitat!$I$26,0)+IF(C72=2,M72*Habitat!$J$26,0)+IF(C72=3,M72*Habitat!$K$26,0)+IF(C72=4,M72*Habitat!$L$26,0)+IF(C72=5,M72*Habitat!$M$26,0)</f>
        <v>0</v>
      </c>
      <c r="P72" s="48">
        <f>IF(C72=1,M72*Habitat!$I$25,0)+IF(C72=2,M72*Habitat!$J$25,0)+IF(C72=3,M72*Habitat!$K$25,0)+IF(C72=4,M72*Habitat!$L$25,0)+IF(C72=5,M72*Habitat!$M$25,0)+IF(C72=6,M72*Habitat!$N$25,0)</f>
        <v>0</v>
      </c>
      <c r="Q72" s="48">
        <f>IF(C72=1,M72*Habitat!$I$28,0)+IF(C72=2,M72*Habitat!$J$28,0)+IF(C72=3,M72*Habitat!$K$28,0)+IF(C72=4,M72*Habitat!$L$28,0)+IF(C72=5,M72*Habitat!$M$28,0)</f>
        <v>0</v>
      </c>
      <c r="R72" s="48">
        <f>IF(C72=1,M72*Habitat!$I$29,0)+IF(C72=2,M72*Habitat!$J$29,0)+IF(C72=3,M72*Habitat!$K$29,0)+IF(C72=4,M72*Habitat!$L$29,0)+IF(C72=5,M72*Habitat!$M$29,0)*IF(C72=7,M72*Habitat!$O$29,0)</f>
        <v>0</v>
      </c>
      <c r="S72">
        <f>IF(C72=1,M72*Habitat!$I$30,0)+IF(C72=2,M72*Habitat!$J$30,0)+IF(C72=3,M72*Habitat!$K$30,0)+IF(C72=4,M72*Habitat!$L$30,0)+IF(C72=5,M72*Habitat!$M$30,0)</f>
        <v>0</v>
      </c>
    </row>
    <row r="73" spans="1:19">
      <c r="A73">
        <f t="shared" si="13"/>
        <v>63</v>
      </c>
      <c r="C73" s="5">
        <v>3</v>
      </c>
      <c r="D73" s="56">
        <f>D72+Habitat!$C$16</f>
        <v>445</v>
      </c>
      <c r="E73" s="48">
        <f t="shared" si="20"/>
        <v>214</v>
      </c>
      <c r="F73" s="3">
        <f>Habitat!$D$13*D73</f>
        <v>12.46</v>
      </c>
      <c r="G73" s="3">
        <f t="shared" si="7"/>
        <v>0</v>
      </c>
      <c r="H73" s="3">
        <f t="shared" si="41"/>
        <v>0</v>
      </c>
      <c r="I73" s="3">
        <f t="shared" si="15"/>
        <v>0</v>
      </c>
      <c r="J73" s="3">
        <f t="shared" si="16"/>
        <v>2090</v>
      </c>
      <c r="K73" s="3">
        <f t="shared" si="17"/>
        <v>0</v>
      </c>
      <c r="L73" s="7">
        <f t="shared" si="18"/>
        <v>0</v>
      </c>
      <c r="M73" s="8">
        <f t="shared" si="19"/>
        <v>0</v>
      </c>
      <c r="N73" s="48">
        <f>IF(C73=1,M73*Habitat!$I$27,0)+IF(C73=2,M73*Habitat!$J$27,0)+IF(C73=3,M73*Habitat!$K$27,0)+IF(C73=4,M73*Habitat!$L$27,0)+IF(C73=5,M73*Habitat!$M$27,0)</f>
        <v>0</v>
      </c>
      <c r="O73" s="48">
        <f>IF(C73=1,M73*Habitat!$I$26,0)+IF(C73=2,M73*Habitat!$J$26,0)+IF(C73=3,M73*Habitat!$K$26,0)+IF(C73=4,M73*Habitat!$L$26,0)+IF(C73=5,M73*Habitat!$M$26,0)</f>
        <v>0</v>
      </c>
      <c r="P73" s="48">
        <f>IF(C73=1,M73*Habitat!$I$25,0)+IF(C73=2,M73*Habitat!$J$25,0)+IF(C73=3,M73*Habitat!$K$25,0)+IF(C73=4,M73*Habitat!$L$25,0)+IF(C73=5,M73*Habitat!$M$25,0)+IF(C73=6,M73*Habitat!$N$25,0)</f>
        <v>0</v>
      </c>
      <c r="Q73" s="48">
        <f>IF(C73=1,M73*Habitat!$I$28,0)+IF(C73=2,M73*Habitat!$J$28,0)+IF(C73=3,M73*Habitat!$K$28,0)+IF(C73=4,M73*Habitat!$L$28,0)+IF(C73=5,M73*Habitat!$M$28,0)</f>
        <v>0</v>
      </c>
      <c r="R73" s="48">
        <f>IF(C73=1,M73*Habitat!$I$29,0)+IF(C73=2,M73*Habitat!$J$29,0)+IF(C73=3,M73*Habitat!$K$29,0)+IF(C73=4,M73*Habitat!$L$29,0)+IF(C73=5,M73*Habitat!$M$29,0)*IF(C73=7,M73*Habitat!$O$29,0)</f>
        <v>0</v>
      </c>
      <c r="S73">
        <f>IF(C73=1,M73*Habitat!$I$30,0)+IF(C73=2,M73*Habitat!$J$30,0)+IF(C73=3,M73*Habitat!$K$30,0)+IF(C73=4,M73*Habitat!$L$30,0)+IF(C73=5,M73*Habitat!$M$30,0)</f>
        <v>0</v>
      </c>
    </row>
    <row r="74" spans="1:19">
      <c r="A74">
        <f t="shared" si="13"/>
        <v>64</v>
      </c>
      <c r="C74" s="5">
        <v>3</v>
      </c>
      <c r="D74" s="56">
        <f>D73+Habitat!$C$16</f>
        <v>450</v>
      </c>
      <c r="E74" s="48">
        <f t="shared" si="20"/>
        <v>219</v>
      </c>
      <c r="F74" s="3">
        <f>Habitat!$D$13*D74</f>
        <v>12.6</v>
      </c>
      <c r="G74" s="3">
        <f t="shared" si="7"/>
        <v>0</v>
      </c>
      <c r="H74" s="3">
        <f t="shared" si="41"/>
        <v>0</v>
      </c>
      <c r="I74" s="3">
        <f t="shared" si="15"/>
        <v>0</v>
      </c>
      <c r="J74" s="3">
        <f t="shared" si="16"/>
        <v>2140</v>
      </c>
      <c r="K74" s="3">
        <f t="shared" si="17"/>
        <v>0</v>
      </c>
      <c r="L74" s="7">
        <f t="shared" si="18"/>
        <v>0</v>
      </c>
      <c r="M74" s="8">
        <f t="shared" si="19"/>
        <v>0</v>
      </c>
      <c r="N74" s="48">
        <f>IF(C74=1,M74*Habitat!$I$27,0)+IF(C74=2,M74*Habitat!$J$27,0)+IF(C74=3,M74*Habitat!$K$27,0)+IF(C74=4,M74*Habitat!$L$27,0)+IF(C74=5,M74*Habitat!$M$27,0)</f>
        <v>0</v>
      </c>
      <c r="O74" s="48">
        <f>IF(C74=1,M74*Habitat!$I$26,0)+IF(C74=2,M74*Habitat!$J$26,0)+IF(C74=3,M74*Habitat!$K$26,0)+IF(C74=4,M74*Habitat!$L$26,0)+IF(C74=5,M74*Habitat!$M$26,0)</f>
        <v>0</v>
      </c>
      <c r="P74" s="48">
        <f>IF(C74=1,M74*Habitat!$I$25,0)+IF(C74=2,M74*Habitat!$J$25,0)+IF(C74=3,M74*Habitat!$K$25,0)+IF(C74=4,M74*Habitat!$L$25,0)+IF(C74=5,M74*Habitat!$M$25,0)+IF(C74=6,M74*Habitat!$N$25,0)</f>
        <v>0</v>
      </c>
      <c r="Q74" s="48">
        <f>IF(C74=1,M74*Habitat!$I$28,0)+IF(C74=2,M74*Habitat!$J$28,0)+IF(C74=3,M74*Habitat!$K$28,0)+IF(C74=4,M74*Habitat!$L$28,0)+IF(C74=5,M74*Habitat!$M$28,0)</f>
        <v>0</v>
      </c>
      <c r="R74" s="48">
        <f>IF(C74=1,M74*Habitat!$I$29,0)+IF(C74=2,M74*Habitat!$J$29,0)+IF(C74=3,M74*Habitat!$K$29,0)+IF(C74=4,M74*Habitat!$L$29,0)+IF(C74=5,M74*Habitat!$M$29,0)*IF(C74=7,M74*Habitat!$O$29,0)</f>
        <v>0</v>
      </c>
      <c r="S74">
        <f>IF(C74=1,M74*Habitat!$I$30,0)+IF(C74=2,M74*Habitat!$J$30,0)+IF(C74=3,M74*Habitat!$K$30,0)+IF(C74=4,M74*Habitat!$L$30,0)+IF(C74=5,M74*Habitat!$M$30,0)</f>
        <v>0</v>
      </c>
    </row>
    <row r="75" spans="1:19">
      <c r="A75">
        <f t="shared" si="13"/>
        <v>65</v>
      </c>
      <c r="C75" s="5">
        <v>3</v>
      </c>
      <c r="D75" s="56">
        <f>D74+Habitat!$C$16</f>
        <v>455</v>
      </c>
      <c r="E75" s="48">
        <f t="shared" si="20"/>
        <v>224</v>
      </c>
      <c r="F75" s="3">
        <f>Habitat!$D$13*D75</f>
        <v>12.74</v>
      </c>
      <c r="G75" s="3">
        <f t="shared" ref="G75:G138" si="42">IF(H75&gt;0,F75/9.8,0)</f>
        <v>0</v>
      </c>
      <c r="H75" s="3">
        <f t="shared" ref="H75:H138" si="43">IF(E75&lt;=$C$5,SQRT($C$5^2-E75^2),0)</f>
        <v>0</v>
      </c>
      <c r="I75" s="3">
        <f t="shared" si="15"/>
        <v>0</v>
      </c>
      <c r="J75" s="3">
        <f t="shared" si="16"/>
        <v>2190</v>
      </c>
      <c r="K75" s="3">
        <f t="shared" si="17"/>
        <v>0</v>
      </c>
      <c r="L75" s="7">
        <f t="shared" si="18"/>
        <v>0</v>
      </c>
      <c r="M75" s="8">
        <f t="shared" si="19"/>
        <v>0</v>
      </c>
      <c r="N75" s="48">
        <f>IF(C75=1,M75*Habitat!$I$27,0)+IF(C75=2,M75*Habitat!$J$27,0)+IF(C75=3,M75*Habitat!$K$27,0)+IF(C75=4,M75*Habitat!$L$27,0)+IF(C75=5,M75*Habitat!$M$27,0)</f>
        <v>0</v>
      </c>
      <c r="O75" s="48">
        <f>IF(C75=1,M75*Habitat!$I$26,0)+IF(C75=2,M75*Habitat!$J$26,0)+IF(C75=3,M75*Habitat!$K$26,0)+IF(C75=4,M75*Habitat!$L$26,0)+IF(C75=5,M75*Habitat!$M$26,0)</f>
        <v>0</v>
      </c>
      <c r="P75" s="48">
        <f>IF(C75=1,M75*Habitat!$I$25,0)+IF(C75=2,M75*Habitat!$J$25,0)+IF(C75=3,M75*Habitat!$K$25,0)+IF(C75=4,M75*Habitat!$L$25,0)+IF(C75=5,M75*Habitat!$M$25,0)+IF(C75=6,M75*Habitat!$N$25,0)</f>
        <v>0</v>
      </c>
      <c r="Q75" s="48">
        <f>IF(C75=1,M75*Habitat!$I$28,0)+IF(C75=2,M75*Habitat!$J$28,0)+IF(C75=3,M75*Habitat!$K$28,0)+IF(C75=4,M75*Habitat!$L$28,0)+IF(C75=5,M75*Habitat!$M$28,0)</f>
        <v>0</v>
      </c>
      <c r="R75" s="48">
        <f>IF(C75=1,M75*Habitat!$I$29,0)+IF(C75=2,M75*Habitat!$J$29,0)+IF(C75=3,M75*Habitat!$K$29,0)+IF(C75=4,M75*Habitat!$L$29,0)+IF(C75=5,M75*Habitat!$M$29,0)*IF(C75=7,M75*Habitat!$O$29,0)</f>
        <v>0</v>
      </c>
      <c r="S75">
        <f>IF(C75=1,M75*Habitat!$I$30,0)+IF(C75=2,M75*Habitat!$J$30,0)+IF(C75=3,M75*Habitat!$K$30,0)+IF(C75=4,M75*Habitat!$L$30,0)+IF(C75=5,M75*Habitat!$M$30,0)</f>
        <v>0</v>
      </c>
    </row>
    <row r="76" spans="1:19">
      <c r="A76">
        <f t="shared" ref="A76:A99" si="44">A75+1</f>
        <v>66</v>
      </c>
      <c r="C76" s="5">
        <v>3</v>
      </c>
      <c r="D76" s="56">
        <f>D75+Habitat!$C$16</f>
        <v>460</v>
      </c>
      <c r="E76" s="48">
        <f t="shared" si="20"/>
        <v>229</v>
      </c>
      <c r="F76" s="3">
        <f>Habitat!$D$13*D76</f>
        <v>12.88</v>
      </c>
      <c r="G76" s="3">
        <f t="shared" si="42"/>
        <v>0</v>
      </c>
      <c r="H76" s="3">
        <f t="shared" si="43"/>
        <v>0</v>
      </c>
      <c r="I76" s="3">
        <f t="shared" si="15"/>
        <v>0</v>
      </c>
      <c r="J76" s="3">
        <f t="shared" si="16"/>
        <v>2240</v>
      </c>
      <c r="K76" s="3">
        <f t="shared" si="17"/>
        <v>0</v>
      </c>
      <c r="L76" s="7">
        <f t="shared" si="18"/>
        <v>0</v>
      </c>
      <c r="M76" s="8">
        <f t="shared" si="19"/>
        <v>0</v>
      </c>
      <c r="N76" s="48">
        <f>IF(C76=1,M76*Habitat!$I$27,0)+IF(C76=2,M76*Habitat!$J$27,0)+IF(C76=3,M76*Habitat!$K$27,0)+IF(C76=4,M76*Habitat!$L$27,0)+IF(C76=5,M76*Habitat!$M$27,0)</f>
        <v>0</v>
      </c>
      <c r="O76" s="48">
        <f>IF(C76=1,M76*Habitat!$I$26,0)+IF(C76=2,M76*Habitat!$J$26,0)+IF(C76=3,M76*Habitat!$K$26,0)+IF(C76=4,M76*Habitat!$L$26,0)+IF(C76=5,M76*Habitat!$M$26,0)</f>
        <v>0</v>
      </c>
      <c r="P76" s="48">
        <f>IF(C76=1,M76*Habitat!$I$25,0)+IF(C76=2,M76*Habitat!$J$25,0)+IF(C76=3,M76*Habitat!$K$25,0)+IF(C76=4,M76*Habitat!$L$25,0)+IF(C76=5,M76*Habitat!$M$25,0)+IF(C76=6,M76*Habitat!$N$25,0)</f>
        <v>0</v>
      </c>
      <c r="Q76" s="48">
        <f>IF(C76=1,M76*Habitat!$I$28,0)+IF(C76=2,M76*Habitat!$J$28,0)+IF(C76=3,M76*Habitat!$K$28,0)+IF(C76=4,M76*Habitat!$L$28,0)+IF(C76=5,M76*Habitat!$M$28,0)</f>
        <v>0</v>
      </c>
      <c r="R76" s="48">
        <f>IF(C76=1,M76*Habitat!$I$29,0)+IF(C76=2,M76*Habitat!$J$29,0)+IF(C76=3,M76*Habitat!$K$29,0)+IF(C76=4,M76*Habitat!$L$29,0)+IF(C76=5,M76*Habitat!$M$29,0)*IF(C76=7,M76*Habitat!$O$29,0)</f>
        <v>0</v>
      </c>
      <c r="S76">
        <f>IF(C76=1,M76*Habitat!$I$30,0)+IF(C76=2,M76*Habitat!$J$30,0)+IF(C76=3,M76*Habitat!$K$30,0)+IF(C76=4,M76*Habitat!$L$30,0)+IF(C76=5,M76*Habitat!$M$30,0)</f>
        <v>0</v>
      </c>
    </row>
    <row r="77" spans="1:19">
      <c r="A77">
        <f t="shared" si="44"/>
        <v>67</v>
      </c>
      <c r="C77" s="5">
        <v>3</v>
      </c>
      <c r="D77" s="56">
        <f>D76+Habitat!$C$16</f>
        <v>465</v>
      </c>
      <c r="E77" s="48">
        <f t="shared" si="20"/>
        <v>234</v>
      </c>
      <c r="F77" s="3">
        <f>Habitat!$D$13*D77</f>
        <v>13.02</v>
      </c>
      <c r="G77" s="3">
        <f t="shared" si="42"/>
        <v>0</v>
      </c>
      <c r="H77" s="3">
        <f t="shared" si="43"/>
        <v>0</v>
      </c>
      <c r="I77" s="3">
        <f t="shared" si="15"/>
        <v>0</v>
      </c>
      <c r="J77" s="3">
        <f t="shared" si="16"/>
        <v>2290</v>
      </c>
      <c r="K77" s="3">
        <f t="shared" si="17"/>
        <v>0</v>
      </c>
      <c r="L77" s="7">
        <f t="shared" si="18"/>
        <v>0</v>
      </c>
      <c r="M77" s="8">
        <f t="shared" si="19"/>
        <v>0</v>
      </c>
      <c r="N77" s="48">
        <f>IF(C77=1,M77*Habitat!$I$27,0)+IF(C77=2,M77*Habitat!$J$27,0)+IF(C77=3,M77*Habitat!$K$27,0)+IF(C77=4,M77*Habitat!$L$27,0)+IF(C77=5,M77*Habitat!$M$27,0)</f>
        <v>0</v>
      </c>
      <c r="O77" s="48">
        <f>IF(C77=1,M77*Habitat!$I$26,0)+IF(C77=2,M77*Habitat!$J$26,0)+IF(C77=3,M77*Habitat!$K$26,0)+IF(C77=4,M77*Habitat!$L$26,0)+IF(C77=5,M77*Habitat!$M$26,0)</f>
        <v>0</v>
      </c>
      <c r="P77" s="48">
        <f>IF(C77=1,M77*Habitat!$I$25,0)+IF(C77=2,M77*Habitat!$J$25,0)+IF(C77=3,M77*Habitat!$K$25,0)+IF(C77=4,M77*Habitat!$L$25,0)+IF(C77=5,M77*Habitat!$M$25,0)+IF(C77=6,M77*Habitat!$N$25,0)</f>
        <v>0</v>
      </c>
      <c r="Q77" s="48">
        <f>IF(C77=1,M77*Habitat!$I$28,0)+IF(C77=2,M77*Habitat!$J$28,0)+IF(C77=3,M77*Habitat!$K$28,0)+IF(C77=4,M77*Habitat!$L$28,0)+IF(C77=5,M77*Habitat!$M$28,0)</f>
        <v>0</v>
      </c>
      <c r="R77" s="48">
        <f>IF(C77=1,M77*Habitat!$I$29,0)+IF(C77=2,M77*Habitat!$J$29,0)+IF(C77=3,M77*Habitat!$K$29,0)+IF(C77=4,M77*Habitat!$L$29,0)+IF(C77=5,M77*Habitat!$M$29,0)*IF(C77=7,M77*Habitat!$O$29,0)</f>
        <v>0</v>
      </c>
      <c r="S77">
        <f>IF(C77=1,M77*Habitat!$I$30,0)+IF(C77=2,M77*Habitat!$J$30,0)+IF(C77=3,M77*Habitat!$K$30,0)+IF(C77=4,M77*Habitat!$L$30,0)+IF(C77=5,M77*Habitat!$M$30,0)</f>
        <v>0</v>
      </c>
    </row>
    <row r="78" spans="1:19">
      <c r="A78">
        <f t="shared" si="44"/>
        <v>68</v>
      </c>
      <c r="C78" s="5">
        <v>3</v>
      </c>
      <c r="D78" s="56">
        <f>D77+Habitat!$C$16</f>
        <v>470</v>
      </c>
      <c r="E78" s="48">
        <f t="shared" si="20"/>
        <v>239</v>
      </c>
      <c r="F78" s="3">
        <f>Habitat!$D$13*D78</f>
        <v>13.16</v>
      </c>
      <c r="G78" s="3">
        <f t="shared" si="42"/>
        <v>0</v>
      </c>
      <c r="H78" s="3">
        <f t="shared" si="43"/>
        <v>0</v>
      </c>
      <c r="I78" s="3">
        <f t="shared" si="15"/>
        <v>0</v>
      </c>
      <c r="J78" s="3">
        <f t="shared" si="16"/>
        <v>2340</v>
      </c>
      <c r="K78" s="3">
        <f t="shared" si="17"/>
        <v>0</v>
      </c>
      <c r="L78" s="7">
        <f t="shared" si="18"/>
        <v>0</v>
      </c>
      <c r="M78" s="8">
        <f t="shared" si="19"/>
        <v>0</v>
      </c>
      <c r="N78" s="48">
        <f>IF(C78=1,M78*Habitat!$I$27,0)+IF(C78=2,M78*Habitat!$J$27,0)+IF(C78=3,M78*Habitat!$K$27,0)+IF(C78=4,M78*Habitat!$L$27,0)+IF(C78=5,M78*Habitat!$M$27,0)</f>
        <v>0</v>
      </c>
      <c r="O78" s="48">
        <f>IF(C78=1,M78*Habitat!$I$26,0)+IF(C78=2,M78*Habitat!$J$26,0)+IF(C78=3,M78*Habitat!$K$26,0)+IF(C78=4,M78*Habitat!$L$26,0)+IF(C78=5,M78*Habitat!$M$26,0)</f>
        <v>0</v>
      </c>
      <c r="P78" s="48">
        <f>IF(C78=1,M78*Habitat!$I$25,0)+IF(C78=2,M78*Habitat!$J$25,0)+IF(C78=3,M78*Habitat!$K$25,0)+IF(C78=4,M78*Habitat!$L$25,0)+IF(C78=5,M78*Habitat!$M$25,0)+IF(C78=6,M78*Habitat!$N$25,0)</f>
        <v>0</v>
      </c>
      <c r="Q78" s="48">
        <f>IF(C78=1,M78*Habitat!$I$28,0)+IF(C78=2,M78*Habitat!$J$28,0)+IF(C78=3,M78*Habitat!$K$28,0)+IF(C78=4,M78*Habitat!$L$28,0)+IF(C78=5,M78*Habitat!$M$28,0)</f>
        <v>0</v>
      </c>
      <c r="R78" s="48">
        <f>IF(C78=1,M78*Habitat!$I$29,0)+IF(C78=2,M78*Habitat!$J$29,0)+IF(C78=3,M78*Habitat!$K$29,0)+IF(C78=4,M78*Habitat!$L$29,0)+IF(C78=5,M78*Habitat!$M$29,0)*IF(C78=7,M78*Habitat!$O$29,0)</f>
        <v>0</v>
      </c>
      <c r="S78">
        <f>IF(C78=1,M78*Habitat!$I$30,0)+IF(C78=2,M78*Habitat!$J$30,0)+IF(C78=3,M78*Habitat!$K$30,0)+IF(C78=4,M78*Habitat!$L$30,0)+IF(C78=5,M78*Habitat!$M$30,0)</f>
        <v>0</v>
      </c>
    </row>
    <row r="79" spans="1:19">
      <c r="A79">
        <f t="shared" si="44"/>
        <v>69</v>
      </c>
      <c r="C79" s="5">
        <v>3</v>
      </c>
      <c r="D79" s="56">
        <f>D78+Habitat!$C$16</f>
        <v>475</v>
      </c>
      <c r="E79" s="48">
        <f t="shared" si="20"/>
        <v>244</v>
      </c>
      <c r="F79" s="3">
        <f>Habitat!$D$13*D79</f>
        <v>13.3</v>
      </c>
      <c r="G79" s="3">
        <f t="shared" si="42"/>
        <v>0</v>
      </c>
      <c r="H79" s="3">
        <f t="shared" si="43"/>
        <v>0</v>
      </c>
      <c r="I79" s="3">
        <f t="shared" si="15"/>
        <v>0</v>
      </c>
      <c r="J79" s="3">
        <f t="shared" si="16"/>
        <v>2390</v>
      </c>
      <c r="K79" s="3">
        <f t="shared" si="17"/>
        <v>0</v>
      </c>
      <c r="L79" s="7">
        <f t="shared" si="18"/>
        <v>0</v>
      </c>
      <c r="M79" s="8">
        <f t="shared" si="19"/>
        <v>0</v>
      </c>
      <c r="N79" s="48">
        <f>IF(C79=1,M79*Habitat!$I$27,0)+IF(C79=2,M79*Habitat!$J$27,0)+IF(C79=3,M79*Habitat!$K$27,0)+IF(C79=4,M79*Habitat!$L$27,0)+IF(C79=5,M79*Habitat!$M$27,0)</f>
        <v>0</v>
      </c>
      <c r="O79" s="48">
        <f>IF(C79=1,M79*Habitat!$I$26,0)+IF(C79=2,M79*Habitat!$J$26,0)+IF(C79=3,M79*Habitat!$K$26,0)+IF(C79=4,M79*Habitat!$L$26,0)+IF(C79=5,M79*Habitat!$M$26,0)</f>
        <v>0</v>
      </c>
      <c r="P79" s="48">
        <f>IF(C79=1,M79*Habitat!$I$25,0)+IF(C79=2,M79*Habitat!$J$25,0)+IF(C79=3,M79*Habitat!$K$25,0)+IF(C79=4,M79*Habitat!$L$25,0)+IF(C79=5,M79*Habitat!$M$25,0)+IF(C79=6,M79*Habitat!$N$25,0)</f>
        <v>0</v>
      </c>
      <c r="Q79" s="48">
        <f>IF(C79=1,M79*Habitat!$I$28,0)+IF(C79=2,M79*Habitat!$J$28,0)+IF(C79=3,M79*Habitat!$K$28,0)+IF(C79=4,M79*Habitat!$L$28,0)+IF(C79=5,M79*Habitat!$M$28,0)</f>
        <v>0</v>
      </c>
      <c r="R79" s="48">
        <f>IF(C79=1,M79*Habitat!$I$29,0)+IF(C79=2,M79*Habitat!$J$29,0)+IF(C79=3,M79*Habitat!$K$29,0)+IF(C79=4,M79*Habitat!$L$29,0)+IF(C79=5,M79*Habitat!$M$29,0)*IF(C79=7,M79*Habitat!$O$29,0)</f>
        <v>0</v>
      </c>
      <c r="S79">
        <f>IF(C79=1,M79*Habitat!$I$30,0)+IF(C79=2,M79*Habitat!$J$30,0)+IF(C79=3,M79*Habitat!$K$30,0)+IF(C79=4,M79*Habitat!$L$30,0)+IF(C79=5,M79*Habitat!$M$30,0)</f>
        <v>0</v>
      </c>
    </row>
    <row r="80" spans="1:19">
      <c r="A80">
        <f t="shared" si="44"/>
        <v>70</v>
      </c>
      <c r="C80" s="5">
        <v>3</v>
      </c>
      <c r="D80" s="56">
        <f>D79+Habitat!$C$16</f>
        <v>480</v>
      </c>
      <c r="E80" s="48">
        <f t="shared" si="20"/>
        <v>249</v>
      </c>
      <c r="F80" s="3">
        <f>Habitat!$D$13*D80</f>
        <v>13.44</v>
      </c>
      <c r="G80" s="3">
        <f t="shared" si="42"/>
        <v>0</v>
      </c>
      <c r="H80" s="3">
        <f t="shared" si="43"/>
        <v>0</v>
      </c>
      <c r="I80" s="3">
        <f t="shared" si="15"/>
        <v>0</v>
      </c>
      <c r="J80" s="3">
        <f t="shared" si="16"/>
        <v>2440</v>
      </c>
      <c r="K80" s="3">
        <f t="shared" si="17"/>
        <v>0</v>
      </c>
      <c r="L80" s="7">
        <f t="shared" si="18"/>
        <v>0</v>
      </c>
      <c r="M80" s="8">
        <f t="shared" si="19"/>
        <v>0</v>
      </c>
      <c r="N80" s="48">
        <f>IF(C80=1,M80*Habitat!$I$27,0)+IF(C80=2,M80*Habitat!$J$27,0)+IF(C80=3,M80*Habitat!$K$27,0)+IF(C80=4,M80*Habitat!$L$27,0)+IF(C80=5,M80*Habitat!$M$27,0)</f>
        <v>0</v>
      </c>
      <c r="O80" s="48">
        <f>IF(C80=1,M80*Habitat!$I$26,0)+IF(C80=2,M80*Habitat!$J$26,0)+IF(C80=3,M80*Habitat!$K$26,0)+IF(C80=4,M80*Habitat!$L$26,0)+IF(C80=5,M80*Habitat!$M$26,0)</f>
        <v>0</v>
      </c>
      <c r="P80" s="48">
        <f>IF(C80=1,M80*Habitat!$I$25,0)+IF(C80=2,M80*Habitat!$J$25,0)+IF(C80=3,M80*Habitat!$K$25,0)+IF(C80=4,M80*Habitat!$L$25,0)+IF(C80=5,M80*Habitat!$M$25,0)+IF(C80=6,M80*Habitat!$N$25,0)</f>
        <v>0</v>
      </c>
      <c r="Q80" s="48">
        <f>IF(C80=1,M80*Habitat!$I$28,0)+IF(C80=2,M80*Habitat!$J$28,0)+IF(C80=3,M80*Habitat!$K$28,0)+IF(C80=4,M80*Habitat!$L$28,0)+IF(C80=5,M80*Habitat!$M$28,0)</f>
        <v>0</v>
      </c>
      <c r="R80" s="48">
        <f>IF(C80=1,M80*Habitat!$I$29,0)+IF(C80=2,M80*Habitat!$J$29,0)+IF(C80=3,M80*Habitat!$K$29,0)+IF(C80=4,M80*Habitat!$L$29,0)+IF(C80=5,M80*Habitat!$M$29,0)*IF(C80=7,M80*Habitat!$O$29,0)</f>
        <v>0</v>
      </c>
      <c r="S80">
        <f>IF(C80=1,M80*Habitat!$I$30,0)+IF(C80=2,M80*Habitat!$J$30,0)+IF(C80=3,M80*Habitat!$K$30,0)+IF(C80=4,M80*Habitat!$L$30,0)+IF(C80=5,M80*Habitat!$M$30,0)</f>
        <v>0</v>
      </c>
    </row>
    <row r="81" spans="1:19">
      <c r="A81">
        <f t="shared" si="44"/>
        <v>71</v>
      </c>
      <c r="C81" s="5">
        <v>3</v>
      </c>
      <c r="D81" s="56">
        <f>D80+Habitat!$C$16</f>
        <v>485</v>
      </c>
      <c r="E81" s="48">
        <f t="shared" si="20"/>
        <v>254</v>
      </c>
      <c r="F81" s="3">
        <f>Habitat!$D$13*D81</f>
        <v>13.58</v>
      </c>
      <c r="G81" s="3">
        <f t="shared" si="42"/>
        <v>0</v>
      </c>
      <c r="H81" s="3">
        <f t="shared" si="43"/>
        <v>0</v>
      </c>
      <c r="I81" s="3">
        <f t="shared" si="15"/>
        <v>0</v>
      </c>
      <c r="J81" s="3">
        <f t="shared" si="16"/>
        <v>2490</v>
      </c>
      <c r="K81" s="3">
        <f t="shared" si="17"/>
        <v>0</v>
      </c>
      <c r="L81" s="7">
        <f t="shared" si="18"/>
        <v>0</v>
      </c>
      <c r="M81" s="8">
        <f t="shared" si="19"/>
        <v>0</v>
      </c>
      <c r="N81" s="48">
        <f>IF(C81=1,M81*Habitat!$I$27,0)+IF(C81=2,M81*Habitat!$J$27,0)+IF(C81=3,M81*Habitat!$K$27,0)+IF(C81=4,M81*Habitat!$L$27,0)+IF(C81=5,M81*Habitat!$M$27,0)</f>
        <v>0</v>
      </c>
      <c r="O81" s="48">
        <f>IF(C81=1,M81*Habitat!$I$26,0)+IF(C81=2,M81*Habitat!$J$26,0)+IF(C81=3,M81*Habitat!$K$26,0)+IF(C81=4,M81*Habitat!$L$26,0)+IF(C81=5,M81*Habitat!$M$26,0)</f>
        <v>0</v>
      </c>
      <c r="P81" s="48">
        <f>IF(C81=1,M81*Habitat!$I$25,0)+IF(C81=2,M81*Habitat!$J$25,0)+IF(C81=3,M81*Habitat!$K$25,0)+IF(C81=4,M81*Habitat!$L$25,0)+IF(C81=5,M81*Habitat!$M$25,0)+IF(C81=6,M81*Habitat!$N$25,0)</f>
        <v>0</v>
      </c>
      <c r="Q81" s="48">
        <f>IF(C81=1,M81*Habitat!$I$28,0)+IF(C81=2,M81*Habitat!$J$28,0)+IF(C81=3,M81*Habitat!$K$28,0)+IF(C81=4,M81*Habitat!$L$28,0)+IF(C81=5,M81*Habitat!$M$28,0)</f>
        <v>0</v>
      </c>
      <c r="R81" s="48">
        <f>IF(C81=1,M81*Habitat!$I$29,0)+IF(C81=2,M81*Habitat!$J$29,0)+IF(C81=3,M81*Habitat!$K$29,0)+IF(C81=4,M81*Habitat!$L$29,0)+IF(C81=5,M81*Habitat!$M$29,0)*IF(C81=7,M81*Habitat!$O$29,0)</f>
        <v>0</v>
      </c>
      <c r="S81">
        <f>IF(C81=1,M81*Habitat!$I$30,0)+IF(C81=2,M81*Habitat!$J$30,0)+IF(C81=3,M81*Habitat!$K$30,0)+IF(C81=4,M81*Habitat!$L$30,0)+IF(C81=5,M81*Habitat!$M$30,0)</f>
        <v>0</v>
      </c>
    </row>
    <row r="82" spans="1:19">
      <c r="A82">
        <f t="shared" si="44"/>
        <v>72</v>
      </c>
      <c r="C82" s="5">
        <v>3</v>
      </c>
      <c r="D82" s="56">
        <f>D81+Habitat!$C$16</f>
        <v>490</v>
      </c>
      <c r="E82" s="48">
        <f t="shared" si="20"/>
        <v>259</v>
      </c>
      <c r="F82" s="3">
        <f>Habitat!$D$13*D82</f>
        <v>13.72</v>
      </c>
      <c r="G82" s="3">
        <f t="shared" si="42"/>
        <v>0</v>
      </c>
      <c r="H82" s="3">
        <f t="shared" si="43"/>
        <v>0</v>
      </c>
      <c r="I82" s="3">
        <f t="shared" si="15"/>
        <v>0</v>
      </c>
      <c r="J82" s="3">
        <f t="shared" si="16"/>
        <v>2540</v>
      </c>
      <c r="K82" s="3">
        <f t="shared" si="17"/>
        <v>0</v>
      </c>
      <c r="L82" s="7">
        <f t="shared" si="18"/>
        <v>0</v>
      </c>
      <c r="M82" s="8">
        <f t="shared" si="19"/>
        <v>0</v>
      </c>
      <c r="N82" s="48">
        <f>IF(C82=1,M82*Habitat!$I$27,0)+IF(C82=2,M82*Habitat!$J$27,0)+IF(C82=3,M82*Habitat!$K$27,0)+IF(C82=4,M82*Habitat!$L$27,0)+IF(C82=5,M82*Habitat!$M$27,0)</f>
        <v>0</v>
      </c>
      <c r="O82" s="48">
        <f>IF(C82=1,M82*Habitat!$I$26,0)+IF(C82=2,M82*Habitat!$J$26,0)+IF(C82=3,M82*Habitat!$K$26,0)+IF(C82=4,M82*Habitat!$L$26,0)+IF(C82=5,M82*Habitat!$M$26,0)</f>
        <v>0</v>
      </c>
      <c r="P82" s="48">
        <f>IF(C82=1,M82*Habitat!$I$25,0)+IF(C82=2,M82*Habitat!$J$25,0)+IF(C82=3,M82*Habitat!$K$25,0)+IF(C82=4,M82*Habitat!$L$25,0)+IF(C82=5,M82*Habitat!$M$25,0)+IF(C82=6,M82*Habitat!$N$25,0)</f>
        <v>0</v>
      </c>
      <c r="Q82" s="48">
        <f>IF(C82=1,M82*Habitat!$I$28,0)+IF(C82=2,M82*Habitat!$J$28,0)+IF(C82=3,M82*Habitat!$K$28,0)+IF(C82=4,M82*Habitat!$L$28,0)+IF(C82=5,M82*Habitat!$M$28,0)</f>
        <v>0</v>
      </c>
      <c r="R82" s="48">
        <f>IF(C82=1,M82*Habitat!$I$29,0)+IF(C82=2,M82*Habitat!$J$29,0)+IF(C82=3,M82*Habitat!$K$29,0)+IF(C82=4,M82*Habitat!$L$29,0)+IF(C82=5,M82*Habitat!$M$29,0)*IF(C82=7,M82*Habitat!$O$29,0)</f>
        <v>0</v>
      </c>
      <c r="S82">
        <f>IF(C82=1,M82*Habitat!$I$30,0)+IF(C82=2,M82*Habitat!$J$30,0)+IF(C82=3,M82*Habitat!$K$30,0)+IF(C82=4,M82*Habitat!$L$30,0)+IF(C82=5,M82*Habitat!$M$30,0)</f>
        <v>0</v>
      </c>
    </row>
    <row r="83" spans="1:19">
      <c r="A83">
        <f t="shared" si="44"/>
        <v>73</v>
      </c>
      <c r="C83" s="5">
        <v>3</v>
      </c>
      <c r="D83" s="56">
        <f>D82+Habitat!$C$16</f>
        <v>495</v>
      </c>
      <c r="E83" s="48">
        <f t="shared" si="20"/>
        <v>264</v>
      </c>
      <c r="F83" s="3">
        <f>Habitat!$D$13*D83</f>
        <v>13.86</v>
      </c>
      <c r="G83" s="3">
        <f t="shared" si="42"/>
        <v>0</v>
      </c>
      <c r="H83" s="3">
        <f t="shared" si="43"/>
        <v>0</v>
      </c>
      <c r="I83" s="3">
        <f t="shared" si="15"/>
        <v>0</v>
      </c>
      <c r="J83" s="3">
        <f t="shared" si="16"/>
        <v>2590</v>
      </c>
      <c r="K83" s="3">
        <f t="shared" si="17"/>
        <v>0</v>
      </c>
      <c r="L83" s="7">
        <f t="shared" si="18"/>
        <v>0</v>
      </c>
      <c r="M83" s="8">
        <f t="shared" si="19"/>
        <v>0</v>
      </c>
      <c r="N83" s="48">
        <f>IF(C83=1,M83*Habitat!$I$27,0)+IF(C83=2,M83*Habitat!$J$27,0)+IF(C83=3,M83*Habitat!$K$27,0)+IF(C83=4,M83*Habitat!$L$27,0)+IF(C83=5,M83*Habitat!$M$27,0)</f>
        <v>0</v>
      </c>
      <c r="O83" s="48">
        <f>IF(C83=1,M83*Habitat!$I$26,0)+IF(C83=2,M83*Habitat!$J$26,0)+IF(C83=3,M83*Habitat!$K$26,0)+IF(C83=4,M83*Habitat!$L$26,0)+IF(C83=5,M83*Habitat!$M$26,0)</f>
        <v>0</v>
      </c>
      <c r="P83" s="48">
        <f>IF(C83=1,M83*Habitat!$I$25,0)+IF(C83=2,M83*Habitat!$J$25,0)+IF(C83=3,M83*Habitat!$K$25,0)+IF(C83=4,M83*Habitat!$L$25,0)+IF(C83=5,M83*Habitat!$M$25,0)+IF(C83=6,M83*Habitat!$N$25,0)</f>
        <v>0</v>
      </c>
      <c r="Q83" s="48">
        <f>IF(C83=1,M83*Habitat!$I$28,0)+IF(C83=2,M83*Habitat!$J$28,0)+IF(C83=3,M83*Habitat!$K$28,0)+IF(C83=4,M83*Habitat!$L$28,0)+IF(C83=5,M83*Habitat!$M$28,0)</f>
        <v>0</v>
      </c>
      <c r="R83" s="48">
        <f>IF(C83=1,M83*Habitat!$I$29,0)+IF(C83=2,M83*Habitat!$J$29,0)+IF(C83=3,M83*Habitat!$K$29,0)+IF(C83=4,M83*Habitat!$L$29,0)+IF(C83=5,M83*Habitat!$M$29,0)*IF(C83=7,M83*Habitat!$O$29,0)</f>
        <v>0</v>
      </c>
      <c r="S83">
        <f>IF(C83=1,M83*Habitat!$I$30,0)+IF(C83=2,M83*Habitat!$J$30,0)+IF(C83=3,M83*Habitat!$K$30,0)+IF(C83=4,M83*Habitat!$L$30,0)+IF(C83=5,M83*Habitat!$M$30,0)</f>
        <v>0</v>
      </c>
    </row>
    <row r="84" spans="1:19">
      <c r="A84">
        <f t="shared" si="44"/>
        <v>74</v>
      </c>
      <c r="C84" s="5">
        <v>3</v>
      </c>
      <c r="D84" s="56">
        <f>D83+Habitat!$C$16</f>
        <v>500</v>
      </c>
      <c r="E84" s="48">
        <f t="shared" si="20"/>
        <v>269</v>
      </c>
      <c r="F84" s="3">
        <f>Habitat!$D$13*D84</f>
        <v>14</v>
      </c>
      <c r="G84" s="3">
        <f t="shared" si="42"/>
        <v>0</v>
      </c>
      <c r="H84" s="3">
        <f t="shared" si="43"/>
        <v>0</v>
      </c>
      <c r="I84" s="3">
        <f t="shared" si="15"/>
        <v>0</v>
      </c>
      <c r="J84" s="3">
        <f t="shared" si="16"/>
        <v>2640</v>
      </c>
      <c r="K84" s="3">
        <f t="shared" si="17"/>
        <v>0</v>
      </c>
      <c r="L84" s="7">
        <f t="shared" si="18"/>
        <v>0</v>
      </c>
      <c r="M84" s="8">
        <f t="shared" si="19"/>
        <v>0</v>
      </c>
      <c r="N84" s="48">
        <f>IF(C84=1,M84*Habitat!$I$27,0)+IF(C84=2,M84*Habitat!$J$27,0)+IF(C84=3,M84*Habitat!$K$27,0)+IF(C84=4,M84*Habitat!$L$27,0)+IF(C84=5,M84*Habitat!$M$27,0)</f>
        <v>0</v>
      </c>
      <c r="O84" s="48">
        <f>IF(C84=1,M84*Habitat!$I$26,0)+IF(C84=2,M84*Habitat!$J$26,0)+IF(C84=3,M84*Habitat!$K$26,0)+IF(C84=4,M84*Habitat!$L$26,0)+IF(C84=5,M84*Habitat!$M$26,0)</f>
        <v>0</v>
      </c>
      <c r="P84" s="48">
        <f>IF(C84=1,M84*Habitat!$I$25,0)+IF(C84=2,M84*Habitat!$J$25,0)+IF(C84=3,M84*Habitat!$K$25,0)+IF(C84=4,M84*Habitat!$L$25,0)+IF(C84=5,M84*Habitat!$M$25,0)+IF(C84=6,M84*Habitat!$N$25,0)</f>
        <v>0</v>
      </c>
      <c r="Q84" s="48">
        <f>IF(C84=1,M84*Habitat!$I$28,0)+IF(C84=2,M84*Habitat!$J$28,0)+IF(C84=3,M84*Habitat!$K$28,0)+IF(C84=4,M84*Habitat!$L$28,0)+IF(C84=5,M84*Habitat!$M$28,0)</f>
        <v>0</v>
      </c>
      <c r="R84" s="48">
        <f>IF(C84=1,M84*Habitat!$I$29,0)+IF(C84=2,M84*Habitat!$J$29,0)+IF(C84=3,M84*Habitat!$K$29,0)+IF(C84=4,M84*Habitat!$L$29,0)+IF(C84=5,M84*Habitat!$M$29,0)*IF(C84=7,M84*Habitat!$O$29,0)</f>
        <v>0</v>
      </c>
      <c r="S84">
        <f>IF(C84=1,M84*Habitat!$I$30,0)+IF(C84=2,M84*Habitat!$J$30,0)+IF(C84=3,M84*Habitat!$K$30,0)+IF(C84=4,M84*Habitat!$L$30,0)+IF(C84=5,M84*Habitat!$M$30,0)</f>
        <v>0</v>
      </c>
    </row>
    <row r="85" spans="1:19">
      <c r="A85">
        <f t="shared" si="44"/>
        <v>75</v>
      </c>
      <c r="C85" s="5">
        <v>3</v>
      </c>
      <c r="D85" s="56">
        <f>D84+Habitat!$C$16</f>
        <v>505</v>
      </c>
      <c r="E85" s="48">
        <f t="shared" si="20"/>
        <v>274</v>
      </c>
      <c r="F85" s="3">
        <f>Habitat!$D$13*D85</f>
        <v>14.14</v>
      </c>
      <c r="G85" s="3">
        <f t="shared" si="42"/>
        <v>0</v>
      </c>
      <c r="H85" s="3">
        <f t="shared" si="43"/>
        <v>0</v>
      </c>
      <c r="I85" s="3">
        <f t="shared" si="15"/>
        <v>0</v>
      </c>
      <c r="J85" s="3">
        <f t="shared" si="16"/>
        <v>2690</v>
      </c>
      <c r="K85" s="3">
        <f t="shared" si="17"/>
        <v>0</v>
      </c>
      <c r="L85" s="7">
        <f t="shared" si="18"/>
        <v>0</v>
      </c>
      <c r="M85" s="8">
        <f t="shared" si="19"/>
        <v>0</v>
      </c>
      <c r="N85" s="48">
        <f>IF(C85=1,M85*Habitat!$I$27,0)+IF(C85=2,M85*Habitat!$J$27,0)+IF(C85=3,M85*Habitat!$K$27,0)+IF(C85=4,M85*Habitat!$L$27,0)+IF(C85=5,M85*Habitat!$M$27,0)</f>
        <v>0</v>
      </c>
      <c r="O85" s="48">
        <f>IF(C85=1,M85*Habitat!$I$26,0)+IF(C85=2,M85*Habitat!$J$26,0)+IF(C85=3,M85*Habitat!$K$26,0)+IF(C85=4,M85*Habitat!$L$26,0)+IF(C85=5,M85*Habitat!$M$26,0)</f>
        <v>0</v>
      </c>
      <c r="P85" s="48">
        <f>IF(C85=1,M85*Habitat!$I$25,0)+IF(C85=2,M85*Habitat!$J$25,0)+IF(C85=3,M85*Habitat!$K$25,0)+IF(C85=4,M85*Habitat!$L$25,0)+IF(C85=5,M85*Habitat!$M$25,0)+IF(C85=6,M85*Habitat!$N$25,0)</f>
        <v>0</v>
      </c>
      <c r="Q85" s="48">
        <f>IF(C85=1,M85*Habitat!$I$28,0)+IF(C85=2,M85*Habitat!$J$28,0)+IF(C85=3,M85*Habitat!$K$28,0)+IF(C85=4,M85*Habitat!$L$28,0)+IF(C85=5,M85*Habitat!$M$28,0)</f>
        <v>0</v>
      </c>
      <c r="R85" s="48">
        <f>IF(C85=1,M85*Habitat!$I$29,0)+IF(C85=2,M85*Habitat!$J$29,0)+IF(C85=3,M85*Habitat!$K$29,0)+IF(C85=4,M85*Habitat!$L$29,0)+IF(C85=5,M85*Habitat!$M$29,0)*IF(C85=7,M85*Habitat!$O$29,0)</f>
        <v>0</v>
      </c>
      <c r="S85">
        <f>IF(C85=1,M85*Habitat!$I$30,0)+IF(C85=2,M85*Habitat!$J$30,0)+IF(C85=3,M85*Habitat!$K$30,0)+IF(C85=4,M85*Habitat!$L$30,0)+IF(C85=5,M85*Habitat!$M$30,0)</f>
        <v>0</v>
      </c>
    </row>
    <row r="86" spans="1:19">
      <c r="A86">
        <f t="shared" si="44"/>
        <v>76</v>
      </c>
      <c r="C86" s="5">
        <v>3</v>
      </c>
      <c r="D86" s="56">
        <f>D85+Habitat!$C$16</f>
        <v>510</v>
      </c>
      <c r="E86" s="48">
        <f t="shared" si="20"/>
        <v>279</v>
      </c>
      <c r="F86" s="3">
        <f>Habitat!$D$13*D86</f>
        <v>14.280000000000001</v>
      </c>
      <c r="G86" s="3">
        <f t="shared" si="42"/>
        <v>0</v>
      </c>
      <c r="H86" s="3">
        <f t="shared" si="43"/>
        <v>0</v>
      </c>
      <c r="I86" s="3">
        <f t="shared" si="15"/>
        <v>0</v>
      </c>
      <c r="J86" s="3">
        <f t="shared" si="16"/>
        <v>2740</v>
      </c>
      <c r="K86" s="3">
        <f t="shared" si="17"/>
        <v>0</v>
      </c>
      <c r="L86" s="7">
        <f t="shared" si="18"/>
        <v>0</v>
      </c>
      <c r="M86" s="8">
        <f t="shared" si="19"/>
        <v>0</v>
      </c>
      <c r="N86" s="48">
        <f>IF(C86=1,M86*Habitat!$I$27,0)+IF(C86=2,M86*Habitat!$J$27,0)+IF(C86=3,M86*Habitat!$K$27,0)+IF(C86=4,M86*Habitat!$L$27,0)+IF(C86=5,M86*Habitat!$M$27,0)</f>
        <v>0</v>
      </c>
      <c r="O86" s="48">
        <f>IF(C86=1,M86*Habitat!$I$26,0)+IF(C86=2,M86*Habitat!$J$26,0)+IF(C86=3,M86*Habitat!$K$26,0)+IF(C86=4,M86*Habitat!$L$26,0)+IF(C86=5,M86*Habitat!$M$26,0)</f>
        <v>0</v>
      </c>
      <c r="P86" s="48">
        <f>IF(C86=1,M86*Habitat!$I$25,0)+IF(C86=2,M86*Habitat!$J$25,0)+IF(C86=3,M86*Habitat!$K$25,0)+IF(C86=4,M86*Habitat!$L$25,0)+IF(C86=5,M86*Habitat!$M$25,0)+IF(C86=6,M86*Habitat!$N$25,0)</f>
        <v>0</v>
      </c>
      <c r="Q86" s="48">
        <f>IF(C86=1,M86*Habitat!$I$28,0)+IF(C86=2,M86*Habitat!$J$28,0)+IF(C86=3,M86*Habitat!$K$28,0)+IF(C86=4,M86*Habitat!$L$28,0)+IF(C86=5,M86*Habitat!$M$28,0)</f>
        <v>0</v>
      </c>
      <c r="R86" s="48">
        <f>IF(C86=1,M86*Habitat!$I$29,0)+IF(C86=2,M86*Habitat!$J$29,0)+IF(C86=3,M86*Habitat!$K$29,0)+IF(C86=4,M86*Habitat!$L$29,0)+IF(C86=5,M86*Habitat!$M$29,0)*IF(C86=7,M86*Habitat!$O$29,0)</f>
        <v>0</v>
      </c>
      <c r="S86">
        <f>IF(C86=1,M86*Habitat!$I$30,0)+IF(C86=2,M86*Habitat!$J$30,0)+IF(C86=3,M86*Habitat!$K$30,0)+IF(C86=4,M86*Habitat!$L$30,0)+IF(C86=5,M86*Habitat!$M$30,0)</f>
        <v>0</v>
      </c>
    </row>
    <row r="87" spans="1:19">
      <c r="A87">
        <f t="shared" si="44"/>
        <v>77</v>
      </c>
      <c r="C87" s="5">
        <v>3</v>
      </c>
      <c r="D87" s="56">
        <f>D86+Habitat!$C$16</f>
        <v>515</v>
      </c>
      <c r="E87" s="48">
        <f t="shared" si="20"/>
        <v>284</v>
      </c>
      <c r="F87" s="3">
        <f>Habitat!$D$13*D87</f>
        <v>14.42</v>
      </c>
      <c r="G87" s="3">
        <f t="shared" si="42"/>
        <v>0</v>
      </c>
      <c r="H87" s="3">
        <f t="shared" si="43"/>
        <v>0</v>
      </c>
      <c r="I87" s="3">
        <f t="shared" si="15"/>
        <v>0</v>
      </c>
      <c r="J87" s="3">
        <f t="shared" si="16"/>
        <v>2790</v>
      </c>
      <c r="K87" s="3">
        <f t="shared" si="17"/>
        <v>0</v>
      </c>
      <c r="L87" s="7">
        <f t="shared" si="18"/>
        <v>0</v>
      </c>
      <c r="M87" s="8">
        <f t="shared" si="19"/>
        <v>0</v>
      </c>
      <c r="N87" s="48">
        <f>IF(C87=1,M87*Habitat!$I$27,0)+IF(C87=2,M87*Habitat!$J$27,0)+IF(C87=3,M87*Habitat!$K$27,0)+IF(C87=4,M87*Habitat!$L$27,0)+IF(C87=5,M87*Habitat!$M$27,0)</f>
        <v>0</v>
      </c>
      <c r="O87" s="48">
        <f>IF(C87=1,M87*Habitat!$I$26,0)+IF(C87=2,M87*Habitat!$J$26,0)+IF(C87=3,M87*Habitat!$K$26,0)+IF(C87=4,M87*Habitat!$L$26,0)+IF(C87=5,M87*Habitat!$M$26,0)</f>
        <v>0</v>
      </c>
      <c r="P87" s="48">
        <f>IF(C87=1,M87*Habitat!$I$25,0)+IF(C87=2,M87*Habitat!$J$25,0)+IF(C87=3,M87*Habitat!$K$25,0)+IF(C87=4,M87*Habitat!$L$25,0)+IF(C87=5,M87*Habitat!$M$25,0)+IF(C87=6,M87*Habitat!$N$25,0)</f>
        <v>0</v>
      </c>
      <c r="Q87" s="48">
        <f>IF(C87=1,M87*Habitat!$I$28,0)+IF(C87=2,M87*Habitat!$J$28,0)+IF(C87=3,M87*Habitat!$K$28,0)+IF(C87=4,M87*Habitat!$L$28,0)+IF(C87=5,M87*Habitat!$M$28,0)</f>
        <v>0</v>
      </c>
      <c r="R87" s="48">
        <f>IF(C87=1,M87*Habitat!$I$29,0)+IF(C87=2,M87*Habitat!$J$29,0)+IF(C87=3,M87*Habitat!$K$29,0)+IF(C87=4,M87*Habitat!$L$29,0)+IF(C87=5,M87*Habitat!$M$29,0)*IF(C87=7,M87*Habitat!$O$29,0)</f>
        <v>0</v>
      </c>
      <c r="S87">
        <f>IF(C87=1,M87*Habitat!$I$30,0)+IF(C87=2,M87*Habitat!$J$30,0)+IF(C87=3,M87*Habitat!$K$30,0)+IF(C87=4,M87*Habitat!$L$30,0)+IF(C87=5,M87*Habitat!$M$30,0)</f>
        <v>0</v>
      </c>
    </row>
    <row r="88" spans="1:19">
      <c r="A88">
        <f t="shared" si="44"/>
        <v>78</v>
      </c>
      <c r="C88" s="5">
        <v>3</v>
      </c>
      <c r="D88" s="56">
        <f>D87+Habitat!$C$16</f>
        <v>520</v>
      </c>
      <c r="E88" s="48">
        <f t="shared" si="20"/>
        <v>289</v>
      </c>
      <c r="F88" s="3">
        <f>Habitat!$D$13*D88</f>
        <v>14.56</v>
      </c>
      <c r="G88" s="3">
        <f t="shared" si="42"/>
        <v>0</v>
      </c>
      <c r="H88" s="3">
        <f t="shared" si="43"/>
        <v>0</v>
      </c>
      <c r="I88" s="3">
        <f t="shared" si="15"/>
        <v>0</v>
      </c>
      <c r="J88" s="3">
        <f t="shared" si="16"/>
        <v>2840</v>
      </c>
      <c r="K88" s="3">
        <f t="shared" si="17"/>
        <v>0</v>
      </c>
      <c r="L88" s="7">
        <f t="shared" si="18"/>
        <v>0</v>
      </c>
      <c r="M88" s="8">
        <f t="shared" si="19"/>
        <v>0</v>
      </c>
      <c r="N88" s="48">
        <f>IF(C88=1,M88*Habitat!$I$27,0)+IF(C88=2,M88*Habitat!$J$27,0)+IF(C88=3,M88*Habitat!$K$27,0)+IF(C88=4,M88*Habitat!$L$27,0)+IF(C88=5,M88*Habitat!$M$27,0)</f>
        <v>0</v>
      </c>
      <c r="O88" s="48">
        <f>IF(C88=1,M88*Habitat!$I$26,0)+IF(C88=2,M88*Habitat!$J$26,0)+IF(C88=3,M88*Habitat!$K$26,0)+IF(C88=4,M88*Habitat!$L$26,0)+IF(C88=5,M88*Habitat!$M$26,0)</f>
        <v>0</v>
      </c>
      <c r="P88" s="48">
        <f>IF(C88=1,M88*Habitat!$I$25,0)+IF(C88=2,M88*Habitat!$J$25,0)+IF(C88=3,M88*Habitat!$K$25,0)+IF(C88=4,M88*Habitat!$L$25,0)+IF(C88=5,M88*Habitat!$M$25,0)+IF(C88=6,M88*Habitat!$N$25,0)</f>
        <v>0</v>
      </c>
      <c r="Q88" s="48">
        <f>IF(C88=1,M88*Habitat!$I$28,0)+IF(C88=2,M88*Habitat!$J$28,0)+IF(C88=3,M88*Habitat!$K$28,0)+IF(C88=4,M88*Habitat!$L$28,0)+IF(C88=5,M88*Habitat!$M$28,0)</f>
        <v>0</v>
      </c>
      <c r="R88" s="48">
        <f>IF(C88=1,M88*Habitat!$I$29,0)+IF(C88=2,M88*Habitat!$J$29,0)+IF(C88=3,M88*Habitat!$K$29,0)+IF(C88=4,M88*Habitat!$L$29,0)+IF(C88=5,M88*Habitat!$M$29,0)*IF(C88=7,M88*Habitat!$O$29,0)</f>
        <v>0</v>
      </c>
      <c r="S88">
        <f>IF(C88=1,M88*Habitat!$I$30,0)+IF(C88=2,M88*Habitat!$J$30,0)+IF(C88=3,M88*Habitat!$K$30,0)+IF(C88=4,M88*Habitat!$L$30,0)+IF(C88=5,M88*Habitat!$M$30,0)</f>
        <v>0</v>
      </c>
    </row>
    <row r="89" spans="1:19">
      <c r="A89">
        <f t="shared" si="44"/>
        <v>79</v>
      </c>
      <c r="C89" s="5">
        <v>3</v>
      </c>
      <c r="D89" s="56">
        <f>D88+Habitat!$C$16</f>
        <v>525</v>
      </c>
      <c r="E89" s="48">
        <f t="shared" si="20"/>
        <v>294</v>
      </c>
      <c r="F89" s="3">
        <f>Habitat!$D$13*D89</f>
        <v>14.700000000000001</v>
      </c>
      <c r="G89" s="3">
        <f t="shared" si="42"/>
        <v>0</v>
      </c>
      <c r="H89" s="3">
        <f t="shared" si="43"/>
        <v>0</v>
      </c>
      <c r="I89" s="3"/>
      <c r="J89" s="3"/>
      <c r="K89" s="3"/>
      <c r="L89" s="3">
        <f t="shared" ref="L89:L138" si="45">IF(H89&gt;0,1,0)</f>
        <v>0</v>
      </c>
      <c r="M89" s="4">
        <f t="shared" ref="M89:M99" si="46">PI()*H89*H89</f>
        <v>0</v>
      </c>
      <c r="N89" s="48">
        <f>IF(C89=1,M89*Habitat!$I$27,0)+IF(C89=2,M89*Habitat!$J$27,0)+IF(C89=3,M89*Habitat!$K$27,0)+IF(C89=4,M89*Habitat!$L$27,0)+IF(C89=5,M89*Habitat!$M$27,0)</f>
        <v>0</v>
      </c>
      <c r="O89" s="48">
        <f>IF(C89=1,M89*Habitat!$I$26,0)+IF(C89=2,M89*Habitat!$J$26,0)+IF(C89=3,M89*Habitat!$K$26,0)+IF(C89=4,M89*Habitat!$L$26,0)+IF(C89=5,M89*Habitat!$M$26,0)</f>
        <v>0</v>
      </c>
      <c r="P89" s="48">
        <f>IF(C89=1,M89*Habitat!$I$25,0)+IF(C89=2,M89*Habitat!$J$25,0)+IF(C89=3,M89*Habitat!$K$25,0)+IF(C89=4,M89*Habitat!$L$25,0)+IF(C89=5,M89*Habitat!$M$25,0)</f>
        <v>0</v>
      </c>
      <c r="Q89" s="48">
        <f>IF(C89=1,M89*Habitat!$I$28,0)+IF(C89=2,M89*Habitat!$J$28,0)+IF(C89=3,M89*Habitat!$K$28,0)+IF(C89=4,M89*Habitat!$L$28,0)+IF(C89=5,M89*Habitat!$M$28,0)</f>
        <v>0</v>
      </c>
      <c r="R89" s="48">
        <f>IF(C89=1,M89*Habitat!$I$29,0)+IF(C89=2,M89*Habitat!$J$29,0)+IF(C89=3,M89*Habitat!$K$29,0)+IF(C89=4,M89*Habitat!$L$29,0)+IF(C89=5,M89*Habitat!$M$29,0)*IF(C89=7,M89*Habitat!$O$29,0)</f>
        <v>0</v>
      </c>
      <c r="S89">
        <f>IF(C89=1,M89*Habitat!$I$30,0)+IF(C89=2,M89*Habitat!$J$30,0)+IF(C89=3,M89*Habitat!$K$30,0)+IF(C89=4,M89*Habitat!$L$30,0)+IF(C89=5,M89*Habitat!$M$30,0)</f>
        <v>0</v>
      </c>
    </row>
    <row r="90" spans="1:19">
      <c r="A90">
        <f t="shared" si="44"/>
        <v>80</v>
      </c>
      <c r="C90" s="5">
        <v>3</v>
      </c>
      <c r="D90" s="56">
        <f>D89+Habitat!$C$16</f>
        <v>530</v>
      </c>
      <c r="E90" s="48">
        <f t="shared" si="20"/>
        <v>299</v>
      </c>
      <c r="F90" s="3">
        <f>Habitat!$D$13*D90</f>
        <v>14.84</v>
      </c>
      <c r="G90" s="3">
        <f t="shared" si="42"/>
        <v>0</v>
      </c>
      <c r="H90" s="3">
        <f t="shared" si="43"/>
        <v>0</v>
      </c>
      <c r="I90" s="3"/>
      <c r="J90" s="3"/>
      <c r="K90" s="3"/>
      <c r="L90" s="3">
        <f t="shared" si="45"/>
        <v>0</v>
      </c>
      <c r="M90" s="4">
        <f t="shared" si="46"/>
        <v>0</v>
      </c>
      <c r="N90" s="48">
        <f>IF(C90=1,M90*Habitat!$I$27,0)+IF(C90=2,M90*Habitat!$J$27,0)+IF(C90=3,M90*Habitat!$K$27,0)+IF(C90=4,M90*Habitat!$L$27,0)+IF(C90=5,M90*Habitat!$M$27,0)</f>
        <v>0</v>
      </c>
      <c r="O90" s="48">
        <f>IF(C90=1,M90*Habitat!$I$26,0)+IF(C90=2,M90*Habitat!$J$26,0)+IF(C90=3,M90*Habitat!$K$26,0)+IF(C90=4,M90*Habitat!$L$26,0)+IF(C90=5,M90*Habitat!$M$26,0)</f>
        <v>0</v>
      </c>
      <c r="P90" s="48">
        <f>IF(C90=1,M90*Habitat!$I$25,0)+IF(C90=2,M90*Habitat!$J$25,0)+IF(C90=3,M90*Habitat!$K$25,0)+IF(C90=4,M90*Habitat!$L$25,0)+IF(C90=5,M90*Habitat!$M$25,0)</f>
        <v>0</v>
      </c>
      <c r="Q90" s="48">
        <f>IF(C90=1,M90*Habitat!$I$28,0)+IF(C90=2,M90*Habitat!$J$28,0)+IF(C90=3,M90*Habitat!$K$28,0)+IF(C90=4,M90*Habitat!$L$28,0)+IF(C90=5,M90*Habitat!$M$28,0)</f>
        <v>0</v>
      </c>
      <c r="R90" s="48">
        <f>IF(C90=1,M90*Habitat!$I$29,0)+IF(C90=2,M90*Habitat!$J$29,0)+IF(C90=3,M90*Habitat!$K$29,0)+IF(C90=4,M90*Habitat!$L$29,0)+IF(C90=5,M90*Habitat!$M$29,0)*IF(C90=7,M90*Habitat!$O$29,0)</f>
        <v>0</v>
      </c>
      <c r="S90">
        <f>IF(C90=1,M90*Habitat!$I$30,0)+IF(C90=2,M90*Habitat!$J$30,0)+IF(C90=3,M90*Habitat!$K$30,0)+IF(C90=4,M90*Habitat!$L$30,0)+IF(C90=5,M90*Habitat!$M$30,0)</f>
        <v>0</v>
      </c>
    </row>
    <row r="91" spans="1:19">
      <c r="A91">
        <f t="shared" si="44"/>
        <v>81</v>
      </c>
      <c r="C91" s="5">
        <v>3</v>
      </c>
      <c r="D91" s="56">
        <f>D90+Habitat!$C$16</f>
        <v>535</v>
      </c>
      <c r="E91" s="48">
        <f t="shared" si="20"/>
        <v>304</v>
      </c>
      <c r="F91" s="3">
        <f>Habitat!$D$13*D91</f>
        <v>14.98</v>
      </c>
      <c r="G91" s="3">
        <f t="shared" si="42"/>
        <v>0</v>
      </c>
      <c r="H91" s="3">
        <f t="shared" si="43"/>
        <v>0</v>
      </c>
      <c r="I91" s="3"/>
      <c r="J91" s="3"/>
      <c r="K91" s="3"/>
      <c r="L91" s="3">
        <f t="shared" si="45"/>
        <v>0</v>
      </c>
      <c r="M91" s="4">
        <f t="shared" si="46"/>
        <v>0</v>
      </c>
      <c r="N91" s="48">
        <f>IF(C91=1,M91*Habitat!$I$27,0)+IF(C91=2,M91*Habitat!$J$27,0)+IF(C91=3,M91*Habitat!$K$27,0)+IF(C91=4,M91*Habitat!$L$27,0)+IF(C91=5,M91*Habitat!$M$27,0)</f>
        <v>0</v>
      </c>
      <c r="O91" s="48">
        <f>IF(C91=1,M91*Habitat!$I$26,0)+IF(C91=2,M91*Habitat!$J$26,0)+IF(C91=3,M91*Habitat!$K$26,0)+IF(C91=4,M91*Habitat!$L$26,0)+IF(C91=5,M91*Habitat!$M$26,0)</f>
        <v>0</v>
      </c>
      <c r="P91" s="48">
        <f>IF(C91=1,M91*Habitat!$I$25,0)+IF(C91=2,M91*Habitat!$J$25,0)+IF(C91=3,M91*Habitat!$K$25,0)+IF(C91=4,M91*Habitat!$L$25,0)+IF(C91=5,M91*Habitat!$M$25,0)</f>
        <v>0</v>
      </c>
      <c r="Q91" s="48">
        <f>IF(C91=1,M91*Habitat!$I$28,0)+IF(C91=2,M91*Habitat!$J$28,0)+IF(C91=3,M91*Habitat!$K$28,0)+IF(C91=4,M91*Habitat!$L$28,0)+IF(C91=5,M91*Habitat!$M$28,0)</f>
        <v>0</v>
      </c>
      <c r="R91" s="48">
        <f>IF(C91=1,M91*Habitat!$I$29,0)+IF(C91=2,M91*Habitat!$J$29,0)+IF(C91=3,M91*Habitat!$K$29,0)+IF(C91=4,M91*Habitat!$L$29,0)+IF(C91=5,M91*Habitat!$M$29,0)*IF(C91=7,M91*Habitat!$O$29,0)</f>
        <v>0</v>
      </c>
      <c r="S91">
        <f>IF(C91=1,M91*Habitat!$I$30,0)+IF(C91=2,M91*Habitat!$J$30,0)+IF(C91=3,M91*Habitat!$K$30,0)+IF(C91=4,M91*Habitat!$L$30,0)+IF(C91=5,M91*Habitat!$M$30,0)</f>
        <v>0</v>
      </c>
    </row>
    <row r="92" spans="1:19">
      <c r="A92">
        <f t="shared" si="44"/>
        <v>82</v>
      </c>
      <c r="C92" s="5">
        <v>3</v>
      </c>
      <c r="D92" s="56">
        <f>D91+Habitat!$C$16</f>
        <v>540</v>
      </c>
      <c r="E92" s="48">
        <f t="shared" si="20"/>
        <v>309</v>
      </c>
      <c r="F92" s="3">
        <f>Habitat!$D$13*D92</f>
        <v>15.120000000000001</v>
      </c>
      <c r="G92" s="3">
        <f t="shared" si="42"/>
        <v>0</v>
      </c>
      <c r="H92" s="3">
        <f t="shared" si="43"/>
        <v>0</v>
      </c>
      <c r="I92" s="3"/>
      <c r="J92" s="3"/>
      <c r="K92" s="3"/>
      <c r="L92" s="3">
        <f t="shared" si="45"/>
        <v>0</v>
      </c>
      <c r="M92" s="4">
        <f t="shared" si="46"/>
        <v>0</v>
      </c>
      <c r="N92" s="48">
        <f>IF(C92=1,M92*Habitat!$I$27,0)+IF(C92=2,M92*Habitat!$J$27,0)+IF(C92=3,M92*Habitat!$K$27,0)+IF(C92=4,M92*Habitat!$L$27,0)+IF(C92=5,M92*Habitat!$M$27,0)</f>
        <v>0</v>
      </c>
      <c r="O92" s="48">
        <f>IF(C92=1,M92*Habitat!$I$26,0)+IF(C92=2,M92*Habitat!$J$26,0)+IF(C92=3,M92*Habitat!$K$26,0)+IF(C92=4,M92*Habitat!$L$26,0)+IF(C92=5,M92*Habitat!$M$26,0)</f>
        <v>0</v>
      </c>
      <c r="P92" s="48">
        <f>IF(C92=1,M92*Habitat!$I$25,0)+IF(C92=2,M92*Habitat!$J$25,0)+IF(C92=3,M92*Habitat!$K$25,0)+IF(C92=4,M92*Habitat!$L$25,0)+IF(C92=5,M92*Habitat!$M$25,0)</f>
        <v>0</v>
      </c>
      <c r="Q92" s="48">
        <f>IF(C92=1,M92*Habitat!$I$28,0)+IF(C92=2,M92*Habitat!$J$28,0)+IF(C92=3,M92*Habitat!$K$28,0)+IF(C92=4,M92*Habitat!$L$28,0)+IF(C92=5,M92*Habitat!$M$28,0)</f>
        <v>0</v>
      </c>
      <c r="R92" s="48">
        <f>IF(C92=1,M92*Habitat!$I$29,0)+IF(C92=2,M92*Habitat!$J$29,0)+IF(C92=3,M92*Habitat!$K$29,0)+IF(C92=4,M92*Habitat!$L$29,0)+IF(C92=5,M92*Habitat!$M$29,0)*IF(C92=7,M92*Habitat!$O$29,0)</f>
        <v>0</v>
      </c>
      <c r="S92">
        <f>IF(C92=1,M92*Habitat!$I$30,0)+IF(C92=2,M92*Habitat!$J$30,0)+IF(C92=3,M92*Habitat!$K$30,0)+IF(C92=4,M92*Habitat!$L$30,0)+IF(C92=5,M92*Habitat!$M$30,0)</f>
        <v>0</v>
      </c>
    </row>
    <row r="93" spans="1:19">
      <c r="A93">
        <f t="shared" si="44"/>
        <v>83</v>
      </c>
      <c r="C93" s="5">
        <v>3</v>
      </c>
      <c r="D93" s="56">
        <f>D92+Habitat!$C$16</f>
        <v>545</v>
      </c>
      <c r="E93" s="48">
        <f t="shared" si="20"/>
        <v>314</v>
      </c>
      <c r="F93" s="3">
        <f>Habitat!$D$13*D93</f>
        <v>15.26</v>
      </c>
      <c r="G93" s="3">
        <f t="shared" si="42"/>
        <v>0</v>
      </c>
      <c r="H93" s="3">
        <f t="shared" si="43"/>
        <v>0</v>
      </c>
      <c r="I93" s="3"/>
      <c r="J93" s="3"/>
      <c r="K93" s="3"/>
      <c r="L93" s="3">
        <f t="shared" si="45"/>
        <v>0</v>
      </c>
      <c r="M93" s="4">
        <f t="shared" si="46"/>
        <v>0</v>
      </c>
      <c r="N93" s="48">
        <f>IF(C93=1,M93*Habitat!$I$27,0)+IF(C93=2,M93*Habitat!$J$27,0)+IF(C93=3,M93*Habitat!$K$27,0)+IF(C93=4,M93*Habitat!$L$27,0)+IF(C93=5,M93*Habitat!$M$27,0)</f>
        <v>0</v>
      </c>
      <c r="O93" s="48">
        <f>IF(C93=1,M93*Habitat!$I$26,0)+IF(C93=2,M93*Habitat!$J$26,0)+IF(C93=3,M93*Habitat!$K$26,0)+IF(C93=4,M93*Habitat!$L$26,0)+IF(C93=5,M93*Habitat!$M$26,0)</f>
        <v>0</v>
      </c>
      <c r="P93" s="48">
        <f>IF(C93=1,M93*Habitat!$I$25,0)+IF(C93=2,M93*Habitat!$J$25,0)+IF(C93=3,M93*Habitat!$K$25,0)+IF(C93=4,M93*Habitat!$L$25,0)+IF(C93=5,M93*Habitat!$M$25,0)</f>
        <v>0</v>
      </c>
      <c r="Q93" s="48">
        <f>IF(C93=1,M93*Habitat!$I$28,0)+IF(C93=2,M93*Habitat!$J$28,0)+IF(C93=3,M93*Habitat!$K$28,0)+IF(C93=4,M93*Habitat!$L$28,0)+IF(C93=5,M93*Habitat!$M$28,0)</f>
        <v>0</v>
      </c>
      <c r="R93" s="48">
        <f>IF(C93=1,M93*Habitat!$I$29,0)+IF(C93=2,M93*Habitat!$J$29,0)+IF(C93=3,M93*Habitat!$K$29,0)+IF(C93=4,M93*Habitat!$L$29,0)+IF(C93=5,M93*Habitat!$M$29,0)*IF(C93=7,M93*Habitat!$O$29,0)</f>
        <v>0</v>
      </c>
      <c r="S93">
        <f>IF(C93=1,M93*Habitat!$I$30,0)+IF(C93=2,M93*Habitat!$J$30,0)+IF(C93=3,M93*Habitat!$K$30,0)+IF(C93=4,M93*Habitat!$L$30,0)+IF(C93=5,M93*Habitat!$M$30,0)</f>
        <v>0</v>
      </c>
    </row>
    <row r="94" spans="1:19">
      <c r="A94">
        <f t="shared" si="44"/>
        <v>84</v>
      </c>
      <c r="C94" s="5">
        <v>3</v>
      </c>
      <c r="D94" s="56">
        <f>D93+Habitat!$C$16</f>
        <v>550</v>
      </c>
      <c r="E94" s="48">
        <f t="shared" si="20"/>
        <v>319</v>
      </c>
      <c r="F94" s="3">
        <f>Habitat!$D$13*D94</f>
        <v>15.4</v>
      </c>
      <c r="G94" s="3">
        <f t="shared" si="42"/>
        <v>0</v>
      </c>
      <c r="H94" s="3">
        <f t="shared" si="43"/>
        <v>0</v>
      </c>
      <c r="I94" s="3"/>
      <c r="J94" s="3"/>
      <c r="K94" s="3"/>
      <c r="L94" s="3">
        <f t="shared" si="45"/>
        <v>0</v>
      </c>
      <c r="M94" s="4">
        <f t="shared" si="46"/>
        <v>0</v>
      </c>
      <c r="N94" s="48">
        <f>IF(C94=1,M94*Habitat!$I$27,0)+IF(C94=2,M94*Habitat!$J$27,0)+IF(C94=3,M94*Habitat!$K$27,0)+IF(C94=4,M94*Habitat!$L$27,0)+IF(C94=5,M94*Habitat!$M$27,0)</f>
        <v>0</v>
      </c>
      <c r="O94" s="48">
        <f>IF(C94=1,M94*Habitat!$I$26,0)+IF(C94=2,M94*Habitat!$J$26,0)+IF(C94=3,M94*Habitat!$K$26,0)+IF(C94=4,M94*Habitat!$L$26,0)+IF(C94=5,M94*Habitat!$M$26,0)</f>
        <v>0</v>
      </c>
      <c r="P94" s="48">
        <f>IF(C94=1,M94*Habitat!$I$25,0)+IF(C94=2,M94*Habitat!$J$25,0)+IF(C94=3,M94*Habitat!$K$25,0)+IF(C94=4,M94*Habitat!$L$25,0)+IF(C94=5,M94*Habitat!$M$25,0)</f>
        <v>0</v>
      </c>
      <c r="Q94" s="48">
        <f>IF(C94=1,M94*Habitat!$I$28,0)+IF(C94=2,M94*Habitat!$J$28,0)+IF(C94=3,M94*Habitat!$K$28,0)+IF(C94=4,M94*Habitat!$L$28,0)+IF(C94=5,M94*Habitat!$M$28,0)</f>
        <v>0</v>
      </c>
      <c r="R94" s="48">
        <f>IF(C94=1,M94*Habitat!$I$29,0)+IF(C94=2,M94*Habitat!$J$29,0)+IF(C94=3,M94*Habitat!$K$29,0)+IF(C94=4,M94*Habitat!$L$29,0)+IF(C94=5,M94*Habitat!$M$29,0)*IF(C94=7,M94*Habitat!$O$29,0)</f>
        <v>0</v>
      </c>
      <c r="S94">
        <f>IF(C94=1,M94*Habitat!$I$30,0)+IF(C94=2,M94*Habitat!$J$30,0)+IF(C94=3,M94*Habitat!$K$30,0)+IF(C94=4,M94*Habitat!$L$30,0)+IF(C94=5,M94*Habitat!$M$30,0)</f>
        <v>0</v>
      </c>
    </row>
    <row r="95" spans="1:19">
      <c r="A95">
        <f t="shared" si="44"/>
        <v>85</v>
      </c>
      <c r="C95" s="5">
        <v>3</v>
      </c>
      <c r="D95" s="56">
        <f>D94+Habitat!$C$16</f>
        <v>555</v>
      </c>
      <c r="E95" s="48">
        <f t="shared" si="20"/>
        <v>324</v>
      </c>
      <c r="F95" s="3">
        <f>Habitat!$D$13*D95</f>
        <v>15.540000000000001</v>
      </c>
      <c r="G95" s="3">
        <f t="shared" si="42"/>
        <v>0</v>
      </c>
      <c r="H95" s="3">
        <f t="shared" si="43"/>
        <v>0</v>
      </c>
      <c r="I95" s="3"/>
      <c r="J95" s="3"/>
      <c r="K95" s="3"/>
      <c r="L95" s="3">
        <f t="shared" si="45"/>
        <v>0</v>
      </c>
      <c r="M95" s="4">
        <f t="shared" si="46"/>
        <v>0</v>
      </c>
      <c r="N95" s="48">
        <f>IF(C95=1,M95*Habitat!$I$27,0)+IF(C95=2,M95*Habitat!$J$27,0)+IF(C95=3,M95*Habitat!$K$27,0)+IF(C95=4,M95*Habitat!$L$27,0)+IF(C95=5,M95*Habitat!$M$27,0)</f>
        <v>0</v>
      </c>
      <c r="O95" s="48">
        <f>IF(C95=1,M95*Habitat!$I$26,0)+IF(C95=2,M95*Habitat!$J$26,0)+IF(C95=3,M95*Habitat!$K$26,0)+IF(C95=4,M95*Habitat!$L$26,0)+IF(C95=5,M95*Habitat!$M$26,0)</f>
        <v>0</v>
      </c>
      <c r="P95" s="48">
        <f>IF(C95=1,M95*Habitat!$I$25,0)+IF(C95=2,M95*Habitat!$J$25,0)+IF(C95=3,M95*Habitat!$K$25,0)+IF(C95=4,M95*Habitat!$L$25,0)+IF(C95=5,M95*Habitat!$M$25,0)</f>
        <v>0</v>
      </c>
      <c r="Q95" s="48">
        <f>IF(C95=1,M95*Habitat!$I$28,0)+IF(C95=2,M95*Habitat!$J$28,0)+IF(C95=3,M95*Habitat!$K$28,0)+IF(C95=4,M95*Habitat!$L$28,0)+IF(C95=5,M95*Habitat!$M$28,0)</f>
        <v>0</v>
      </c>
      <c r="R95" s="48">
        <f>IF(C95=1,M95*Habitat!$I$29,0)+IF(C95=2,M95*Habitat!$J$29,0)+IF(C95=3,M95*Habitat!$K$29,0)+IF(C95=4,M95*Habitat!$L$29,0)+IF(C95=5,M95*Habitat!$M$29,0)*IF(C95=7,M95*Habitat!$O$29,0)</f>
        <v>0</v>
      </c>
      <c r="S95">
        <f>IF(C95=1,M95*Habitat!$I$30,0)+IF(C95=2,M95*Habitat!$J$30,0)+IF(C95=3,M95*Habitat!$K$30,0)+IF(C95=4,M95*Habitat!$L$30,0)+IF(C95=5,M95*Habitat!$M$30,0)</f>
        <v>0</v>
      </c>
    </row>
    <row r="96" spans="1:19">
      <c r="A96">
        <f t="shared" si="44"/>
        <v>86</v>
      </c>
      <c r="C96" s="5">
        <v>3</v>
      </c>
      <c r="D96" s="56">
        <f>D95+Habitat!$C$16</f>
        <v>560</v>
      </c>
      <c r="E96" s="48">
        <f t="shared" si="20"/>
        <v>329</v>
      </c>
      <c r="F96" s="3">
        <f>Habitat!$D$13*D96</f>
        <v>15.68</v>
      </c>
      <c r="G96" s="3">
        <f t="shared" si="42"/>
        <v>0</v>
      </c>
      <c r="H96" s="3">
        <f t="shared" si="43"/>
        <v>0</v>
      </c>
      <c r="I96" s="3"/>
      <c r="J96" s="3"/>
      <c r="K96" s="3"/>
      <c r="L96" s="3">
        <f t="shared" si="45"/>
        <v>0</v>
      </c>
      <c r="M96" s="4">
        <f t="shared" si="46"/>
        <v>0</v>
      </c>
      <c r="N96" s="48">
        <f>IF(C96=1,M96*Habitat!$I$27,0)+IF(C96=2,M96*Habitat!$J$27,0)+IF(C96=3,M96*Habitat!$K$27,0)+IF(C96=4,M96*Habitat!$L$27,0)+IF(C96=5,M96*Habitat!$M$27,0)</f>
        <v>0</v>
      </c>
      <c r="O96" s="48">
        <f>IF(C96=1,M96*Habitat!$I$26,0)+IF(C96=2,M96*Habitat!$J$26,0)+IF(C96=3,M96*Habitat!$K$26,0)+IF(C96=4,M96*Habitat!$L$26,0)+IF(C96=5,M96*Habitat!$M$26,0)</f>
        <v>0</v>
      </c>
      <c r="P96" s="48">
        <f>IF(C96=1,M96*Habitat!$I$25,0)+IF(C96=2,M96*Habitat!$J$25,0)+IF(C96=3,M96*Habitat!$K$25,0)+IF(C96=4,M96*Habitat!$L$25,0)+IF(C96=5,M96*Habitat!$M$25,0)</f>
        <v>0</v>
      </c>
      <c r="Q96" s="48">
        <f>IF(C96=1,M96*Habitat!$I$28,0)+IF(C96=2,M96*Habitat!$J$28,0)+IF(C96=3,M96*Habitat!$K$28,0)+IF(C96=4,M96*Habitat!$L$28,0)+IF(C96=5,M96*Habitat!$M$28,0)</f>
        <v>0</v>
      </c>
      <c r="R96" s="48">
        <f>IF(C96=1,M96*Habitat!$I$29,0)+IF(C96=2,M96*Habitat!$J$29,0)+IF(C96=3,M96*Habitat!$K$29,0)+IF(C96=4,M96*Habitat!$L$29,0)+IF(C96=5,M96*Habitat!$M$29,0)*IF(C96=7,M96*Habitat!$O$29,0)</f>
        <v>0</v>
      </c>
      <c r="S96">
        <f>IF(C96=1,M96*Habitat!$I$30,0)+IF(C96=2,M96*Habitat!$J$30,0)+IF(C96=3,M96*Habitat!$K$30,0)+IF(C96=4,M96*Habitat!$L$30,0)+IF(C96=5,M96*Habitat!$M$30,0)</f>
        <v>0</v>
      </c>
    </row>
    <row r="97" spans="1:19">
      <c r="A97">
        <f t="shared" si="44"/>
        <v>87</v>
      </c>
      <c r="C97" s="5">
        <v>3</v>
      </c>
      <c r="D97" s="56">
        <f>D96+Habitat!$C$16</f>
        <v>565</v>
      </c>
      <c r="E97" s="48">
        <f t="shared" si="20"/>
        <v>334</v>
      </c>
      <c r="F97" s="3">
        <f>Habitat!$D$13*D97</f>
        <v>15.82</v>
      </c>
      <c r="G97" s="3">
        <f t="shared" si="42"/>
        <v>0</v>
      </c>
      <c r="H97" s="3">
        <f t="shared" si="43"/>
        <v>0</v>
      </c>
      <c r="I97" s="3"/>
      <c r="J97" s="3"/>
      <c r="K97" s="3"/>
      <c r="L97" s="3">
        <f t="shared" si="45"/>
        <v>0</v>
      </c>
      <c r="M97" s="4">
        <f t="shared" si="46"/>
        <v>0</v>
      </c>
      <c r="N97" s="48">
        <f>IF(C97=1,M97*Habitat!$I$27,0)+IF(C97=2,M97*Habitat!$J$27,0)+IF(C97=3,M97*Habitat!$K$27,0)+IF(C97=4,M97*Habitat!$L$27,0)+IF(C97=5,M97*Habitat!$M$27,0)</f>
        <v>0</v>
      </c>
      <c r="O97" s="48">
        <f>IF(C97=1,M97*Habitat!$I$26,0)+IF(C97=2,M97*Habitat!$J$26,0)+IF(C97=3,M97*Habitat!$K$26,0)+IF(C97=4,M97*Habitat!$L$26,0)+IF(C97=5,M97*Habitat!$M$26,0)</f>
        <v>0</v>
      </c>
      <c r="P97" s="48">
        <f>IF(C97=1,M97*Habitat!$I$25,0)+IF(C97=2,M97*Habitat!$J$25,0)+IF(C97=3,M97*Habitat!$K$25,0)+IF(C97=4,M97*Habitat!$L$25,0)+IF(C97=5,M97*Habitat!$M$25,0)</f>
        <v>0</v>
      </c>
      <c r="Q97" s="48">
        <f>IF(C97=1,M97*Habitat!$I$28,0)+IF(C97=2,M97*Habitat!$J$28,0)+IF(C97=3,M97*Habitat!$K$28,0)+IF(C97=4,M97*Habitat!$L$28,0)+IF(C97=5,M97*Habitat!$M$28,0)</f>
        <v>0</v>
      </c>
      <c r="R97" s="48">
        <f>IF(C97=1,M97*Habitat!$I$29,0)+IF(C97=2,M97*Habitat!$J$29,0)+IF(C97=3,M97*Habitat!$K$29,0)+IF(C97=4,M97*Habitat!$L$29,0)+IF(C97=5,M97*Habitat!$M$29,0)*IF(C97=7,M97*Habitat!$O$29,0)</f>
        <v>0</v>
      </c>
      <c r="S97">
        <f>IF(C97=1,M97*Habitat!$I$30,0)+IF(C97=2,M97*Habitat!$J$30,0)+IF(C97=3,M97*Habitat!$K$30,0)+IF(C97=4,M97*Habitat!$L$30,0)+IF(C97=5,M97*Habitat!$M$30,0)</f>
        <v>0</v>
      </c>
    </row>
    <row r="98" spans="1:19">
      <c r="A98">
        <f t="shared" si="44"/>
        <v>88</v>
      </c>
      <c r="C98" s="5">
        <v>3</v>
      </c>
      <c r="D98" s="56">
        <f>D97+Habitat!$C$16</f>
        <v>570</v>
      </c>
      <c r="E98" s="48">
        <f t="shared" si="20"/>
        <v>339</v>
      </c>
      <c r="F98" s="3">
        <f>Habitat!$D$13*D98</f>
        <v>15.96</v>
      </c>
      <c r="G98" s="3">
        <f t="shared" si="42"/>
        <v>0</v>
      </c>
      <c r="H98" s="3">
        <f t="shared" si="43"/>
        <v>0</v>
      </c>
      <c r="I98" s="3"/>
      <c r="J98" s="3"/>
      <c r="K98" s="3"/>
      <c r="L98" s="3">
        <f t="shared" si="45"/>
        <v>0</v>
      </c>
      <c r="M98" s="4">
        <f t="shared" si="46"/>
        <v>0</v>
      </c>
      <c r="N98" s="48">
        <f>IF(C98=1,M98*Habitat!$I$27,0)+IF(C98=2,M98*Habitat!$J$27,0)+IF(C98=3,M98*Habitat!$K$27,0)+IF(C98=4,M98*Habitat!$L$27,0)+IF(C98=5,M98*Habitat!$M$27,0)</f>
        <v>0</v>
      </c>
      <c r="O98" s="48">
        <f>IF(C98=1,M98*Habitat!$I$26,0)+IF(C98=2,M98*Habitat!$J$26,0)+IF(C98=3,M98*Habitat!$K$26,0)+IF(C98=4,M98*Habitat!$L$26,0)+IF(C98=5,M98*Habitat!$M$26,0)</f>
        <v>0</v>
      </c>
      <c r="P98" s="48">
        <f>IF(C98=1,M98*Habitat!$I$25,0)+IF(C98=2,M98*Habitat!$J$25,0)+IF(C98=3,M98*Habitat!$K$25,0)+IF(C98=4,M98*Habitat!$L$25,0)+IF(C98=5,M98*Habitat!$M$25,0)</f>
        <v>0</v>
      </c>
      <c r="Q98" s="48">
        <f>IF(C98=1,M98*Habitat!$I$28,0)+IF(C98=2,M98*Habitat!$J$28,0)+IF(C98=3,M98*Habitat!$K$28,0)+IF(C98=4,M98*Habitat!$L$28,0)+IF(C98=5,M98*Habitat!$M$28,0)</f>
        <v>0</v>
      </c>
      <c r="R98" s="48">
        <f>IF(C98=1,M98*Habitat!$I$29,0)+IF(C98=2,M98*Habitat!$J$29,0)+IF(C98=3,M98*Habitat!$K$29,0)+IF(C98=4,M98*Habitat!$L$29,0)+IF(C98=5,M98*Habitat!$M$29,0)*IF(C98=7,M98*Habitat!$O$29,0)</f>
        <v>0</v>
      </c>
      <c r="S98">
        <f>IF(C98=1,M98*Habitat!$I$30,0)+IF(C98=2,M98*Habitat!$J$30,0)+IF(C98=3,M98*Habitat!$K$30,0)+IF(C98=4,M98*Habitat!$L$30,0)+IF(C98=5,M98*Habitat!$M$30,0)</f>
        <v>0</v>
      </c>
    </row>
    <row r="99" spans="1:19">
      <c r="A99">
        <f t="shared" si="44"/>
        <v>89</v>
      </c>
      <c r="C99" s="5">
        <v>3</v>
      </c>
      <c r="D99" s="56">
        <f>D98+Habitat!$C$16</f>
        <v>575</v>
      </c>
      <c r="E99" s="48">
        <f t="shared" si="20"/>
        <v>344</v>
      </c>
      <c r="F99" s="3">
        <f>Habitat!$D$13*D99</f>
        <v>16.100000000000001</v>
      </c>
      <c r="G99" s="3">
        <f t="shared" si="42"/>
        <v>0</v>
      </c>
      <c r="H99" s="3">
        <f t="shared" si="43"/>
        <v>0</v>
      </c>
      <c r="I99" s="3"/>
      <c r="J99" s="3"/>
      <c r="K99" s="3"/>
      <c r="L99" s="3">
        <f t="shared" si="45"/>
        <v>0</v>
      </c>
      <c r="M99" s="4">
        <f t="shared" si="46"/>
        <v>0</v>
      </c>
      <c r="N99" s="48">
        <f>IF(C99=1,M99*Habitat!$I$27,0)+IF(C99=2,M99*Habitat!$J$27,0)+IF(C99=3,M99*Habitat!$K$27,0)+IF(C99=4,M99*Habitat!$L$27,0)+IF(C99=5,M99*Habitat!$M$27,0)</f>
        <v>0</v>
      </c>
      <c r="O99" s="48">
        <f>IF(C99=1,M99*Habitat!$I$26,0)+IF(C99=2,M99*Habitat!$J$26,0)+IF(C99=3,M99*Habitat!$K$26,0)+IF(C99=4,M99*Habitat!$L$26,0)+IF(C99=5,M99*Habitat!$M$26,0)</f>
        <v>0</v>
      </c>
      <c r="P99" s="48">
        <f>IF(C99=1,M99*Habitat!$I$25,0)+IF(C99=2,M99*Habitat!$J$25,0)+IF(C99=3,M99*Habitat!$K$25,0)+IF(C99=4,M99*Habitat!$L$25,0)+IF(C99=5,M99*Habitat!$M$25,0)</f>
        <v>0</v>
      </c>
      <c r="Q99" s="48">
        <f>IF(C99=1,M99*Habitat!$I$28,0)+IF(C99=2,M99*Habitat!$J$28,0)+IF(C99=3,M99*Habitat!$K$28,0)+IF(C99=4,M99*Habitat!$L$28,0)+IF(C99=5,M99*Habitat!$M$28,0)</f>
        <v>0</v>
      </c>
      <c r="R99" s="48">
        <f>IF(C99=1,M99*Habitat!$I$29,0)+IF(C99=2,M99*Habitat!$J$29,0)+IF(C99=3,M99*Habitat!$K$29,0)+IF(C99=4,M99*Habitat!$L$29,0)+IF(C99=5,M99*Habitat!$M$29,0)*IF(C99=7,M99*Habitat!$O$29,0)</f>
        <v>0</v>
      </c>
      <c r="S99">
        <f>IF(C99=1,M99*Habitat!$I$30,0)+IF(C99=2,M99*Habitat!$J$30,0)+IF(C99=3,M99*Habitat!$K$30,0)+IF(C99=4,M99*Habitat!$L$30,0)+IF(C99=5,M99*Habitat!$M$30,0)</f>
        <v>0</v>
      </c>
    </row>
    <row r="100" spans="1:19">
      <c r="A100">
        <f t="shared" ref="A100:A114" si="47">A99+1</f>
        <v>90</v>
      </c>
      <c r="C100" s="5">
        <v>3</v>
      </c>
      <c r="D100" s="56">
        <f>D99+Habitat!$C$16</f>
        <v>580</v>
      </c>
      <c r="E100" s="48">
        <f t="shared" si="20"/>
        <v>349</v>
      </c>
      <c r="F100" s="3">
        <f>Habitat!$D$13*D100</f>
        <v>16.240000000000002</v>
      </c>
      <c r="G100" s="3">
        <f t="shared" si="42"/>
        <v>0</v>
      </c>
      <c r="H100" s="3">
        <f t="shared" si="43"/>
        <v>0</v>
      </c>
      <c r="I100" s="3"/>
      <c r="J100" s="3"/>
      <c r="K100" s="3"/>
      <c r="L100" s="3">
        <f t="shared" si="45"/>
        <v>0</v>
      </c>
      <c r="M100" s="4">
        <f t="shared" ref="M100:M120" si="48">PI()*H100*H100</f>
        <v>0</v>
      </c>
      <c r="N100" s="48">
        <f>IF(C100=1,M100*Habitat!$I$27,0)+IF(C100=2,M100*Habitat!$J$27,0)+IF(C100=3,M100*Habitat!$K$27,0)+IF(C100=4,M100*Habitat!$L$27,0)+IF(C100=5,M100*Habitat!$M$27,0)</f>
        <v>0</v>
      </c>
      <c r="O100" s="48">
        <f>IF(C100=1,M100*Habitat!$I$26,0)+IF(C100=2,M100*Habitat!$J$26,0)+IF(C100=3,M100*Habitat!$K$26,0)+IF(C100=4,M100*Habitat!$L$26,0)+IF(C100=5,M100*Habitat!$M$26,0)</f>
        <v>0</v>
      </c>
      <c r="P100" s="48">
        <f>IF(C100=1,M100*Habitat!$I$25,0)+IF(C100=2,M100*Habitat!$J$25,0)+IF(C100=3,M100*Habitat!$K$25,0)+IF(C100=4,M100*Habitat!$L$25,0)+IF(C100=5,M100*Habitat!$M$25,0)</f>
        <v>0</v>
      </c>
      <c r="Q100" s="48">
        <f>IF(C100=1,M100*Habitat!$I$28,0)+IF(C100=2,M100*Habitat!$J$28,0)+IF(C100=3,M100*Habitat!$K$28,0)+IF(C100=4,M100*Habitat!$L$28,0)+IF(C100=5,M100*Habitat!$M$28,0)</f>
        <v>0</v>
      </c>
      <c r="R100" s="48">
        <f>IF(C100=1,M100*Habitat!$I$29,0)+IF(C100=2,M100*Habitat!$J$29,0)+IF(C100=3,M100*Habitat!$K$29,0)+IF(C100=4,M100*Habitat!$L$29,0)+IF(C100=5,M100*Habitat!$M$29,0)*IF(C100=7,M100*Habitat!$O$29,0)</f>
        <v>0</v>
      </c>
      <c r="S100">
        <f>IF(C100=1,M100*Habitat!$I$30,0)+IF(C100=2,M100*Habitat!$J$30,0)+IF(C100=3,M100*Habitat!$K$30,0)+IF(C100=4,M100*Habitat!$L$30,0)+IF(C100=5,M100*Habitat!$M$30,0)</f>
        <v>0</v>
      </c>
    </row>
    <row r="101" spans="1:19">
      <c r="A101">
        <f t="shared" si="47"/>
        <v>91</v>
      </c>
      <c r="C101" s="5">
        <v>3</v>
      </c>
      <c r="D101" s="56">
        <f>D100+Habitat!$C$16</f>
        <v>585</v>
      </c>
      <c r="E101" s="48">
        <f t="shared" si="20"/>
        <v>354</v>
      </c>
      <c r="F101" s="3">
        <f>Habitat!$D$13*D101</f>
        <v>16.38</v>
      </c>
      <c r="G101" s="3">
        <f t="shared" si="42"/>
        <v>0</v>
      </c>
      <c r="H101" s="3">
        <f t="shared" si="43"/>
        <v>0</v>
      </c>
      <c r="I101" s="3"/>
      <c r="J101" s="3"/>
      <c r="K101" s="3"/>
      <c r="L101" s="3">
        <f t="shared" si="45"/>
        <v>0</v>
      </c>
      <c r="M101" s="4">
        <f t="shared" si="48"/>
        <v>0</v>
      </c>
      <c r="N101" s="48">
        <f>IF(C101=1,M101*Habitat!$I$27,0)+IF(C101=2,M101*Habitat!$J$27,0)+IF(C101=3,M101*Habitat!$K$27,0)+IF(C101=4,M101*Habitat!$L$27,0)+IF(C101=5,M101*Habitat!$M$27,0)</f>
        <v>0</v>
      </c>
      <c r="O101" s="48">
        <f>IF(C101=1,M101*Habitat!$I$26,0)+IF(C101=2,M101*Habitat!$J$26,0)+IF(C101=3,M101*Habitat!$K$26,0)+IF(C101=4,M101*Habitat!$L$26,0)+IF(C101=5,M101*Habitat!$M$26,0)</f>
        <v>0</v>
      </c>
      <c r="P101" s="48">
        <f>IF(C101=1,M101*Habitat!$I$25,0)+IF(C101=2,M101*Habitat!$J$25,0)+IF(C101=3,M101*Habitat!$K$25,0)+IF(C101=4,M101*Habitat!$L$25,0)+IF(C101=5,M101*Habitat!$M$25,0)</f>
        <v>0</v>
      </c>
      <c r="Q101" s="48">
        <f>IF(C101=1,M101*Habitat!$I$28,0)+IF(C101=2,M101*Habitat!$J$28,0)+IF(C101=3,M101*Habitat!$K$28,0)+IF(C101=4,M101*Habitat!$L$28,0)+IF(C101=5,M101*Habitat!$M$28,0)</f>
        <v>0</v>
      </c>
      <c r="R101" s="48">
        <f>IF(C101=1,M101*Habitat!$I$29,0)+IF(C101=2,M101*Habitat!$J$29,0)+IF(C101=3,M101*Habitat!$K$29,0)+IF(C101=4,M101*Habitat!$L$29,0)+IF(C101=5,M101*Habitat!$M$29,0)*IF(C101=7,M101*Habitat!$O$29,0)</f>
        <v>0</v>
      </c>
      <c r="S101">
        <f>IF(C101=1,M101*Habitat!$I$30,0)+IF(C101=2,M101*Habitat!$J$30,0)+IF(C101=3,M101*Habitat!$K$30,0)+IF(C101=4,M101*Habitat!$L$30,0)+IF(C101=5,M101*Habitat!$M$30,0)</f>
        <v>0</v>
      </c>
    </row>
    <row r="102" spans="1:19">
      <c r="A102">
        <f t="shared" si="47"/>
        <v>92</v>
      </c>
      <c r="C102" s="5">
        <v>3</v>
      </c>
      <c r="D102" s="56">
        <f>D101+Habitat!$C$16</f>
        <v>590</v>
      </c>
      <c r="E102" s="48">
        <f t="shared" si="20"/>
        <v>359</v>
      </c>
      <c r="F102" s="3">
        <f>Habitat!$D$13*D102</f>
        <v>16.52</v>
      </c>
      <c r="G102" s="3">
        <f t="shared" si="42"/>
        <v>0</v>
      </c>
      <c r="H102" s="3">
        <f t="shared" si="43"/>
        <v>0</v>
      </c>
      <c r="I102" s="3"/>
      <c r="J102" s="3"/>
      <c r="K102" s="3"/>
      <c r="L102" s="3">
        <f t="shared" si="45"/>
        <v>0</v>
      </c>
      <c r="M102" s="4">
        <f t="shared" si="48"/>
        <v>0</v>
      </c>
      <c r="N102" s="48">
        <f>IF(C102=1,M102*Habitat!$I$27,0)+IF(C102=2,M102*Habitat!$J$27,0)+IF(C102=3,M102*Habitat!$K$27,0)+IF(C102=4,M102*Habitat!$L$27,0)+IF(C102=5,M102*Habitat!$M$27,0)</f>
        <v>0</v>
      </c>
      <c r="O102" s="48">
        <f>IF(C102=1,M102*Habitat!$I$26,0)+IF(C102=2,M102*Habitat!$J$26,0)+IF(C102=3,M102*Habitat!$K$26,0)+IF(C102=4,M102*Habitat!$L$26,0)+IF(C102=5,M102*Habitat!$M$26,0)</f>
        <v>0</v>
      </c>
      <c r="P102" s="48">
        <f>IF(C102=1,M102*Habitat!$I$25,0)+IF(C102=2,M102*Habitat!$J$25,0)+IF(C102=3,M102*Habitat!$K$25,0)+IF(C102=4,M102*Habitat!$L$25,0)+IF(C102=5,M102*Habitat!$M$25,0)</f>
        <v>0</v>
      </c>
      <c r="Q102" s="48">
        <f>IF(C102=1,M102*Habitat!$I$28,0)+IF(C102=2,M102*Habitat!$J$28,0)+IF(C102=3,M102*Habitat!$K$28,0)+IF(C102=4,M102*Habitat!$L$28,0)+IF(C102=5,M102*Habitat!$M$28,0)</f>
        <v>0</v>
      </c>
      <c r="R102" s="48">
        <f>IF(C102=1,M102*Habitat!$I$29,0)+IF(C102=2,M102*Habitat!$J$29,0)+IF(C102=3,M102*Habitat!$K$29,0)+IF(C102=4,M102*Habitat!$L$29,0)+IF(C102=5,M102*Habitat!$M$29,0)*IF(C102=7,M102*Habitat!$O$29,0)</f>
        <v>0</v>
      </c>
      <c r="S102">
        <f>IF(C102=1,M102*Habitat!$I$30,0)+IF(C102=2,M102*Habitat!$J$30,0)+IF(C102=3,M102*Habitat!$K$30,0)+IF(C102=4,M102*Habitat!$L$30,0)+IF(C102=5,M102*Habitat!$M$30,0)</f>
        <v>0</v>
      </c>
    </row>
    <row r="103" spans="1:19">
      <c r="A103">
        <f t="shared" si="47"/>
        <v>93</v>
      </c>
      <c r="C103" s="5">
        <v>3</v>
      </c>
      <c r="D103" s="56">
        <f>D102+Habitat!$C$16</f>
        <v>595</v>
      </c>
      <c r="E103" s="48">
        <f t="shared" si="20"/>
        <v>364</v>
      </c>
      <c r="F103" s="3">
        <f>Habitat!$D$13*D103</f>
        <v>16.66</v>
      </c>
      <c r="G103" s="3">
        <f t="shared" si="42"/>
        <v>0</v>
      </c>
      <c r="H103" s="3">
        <f t="shared" si="43"/>
        <v>0</v>
      </c>
      <c r="I103" s="3"/>
      <c r="J103" s="3"/>
      <c r="K103" s="3"/>
      <c r="L103" s="3">
        <f t="shared" si="45"/>
        <v>0</v>
      </c>
      <c r="M103" s="4">
        <f t="shared" si="48"/>
        <v>0</v>
      </c>
      <c r="N103" s="48">
        <f>IF(C103=1,M103*Habitat!$I$27,0)+IF(C103=2,M103*Habitat!$J$27,0)+IF(C103=3,M103*Habitat!$K$27,0)+IF(C103=4,M103*Habitat!$L$27,0)+IF(C103=5,M103*Habitat!$M$27,0)</f>
        <v>0</v>
      </c>
      <c r="O103" s="48">
        <f>IF(C103=1,M103*Habitat!$I$26,0)+IF(C103=2,M103*Habitat!$J$26,0)+IF(C103=3,M103*Habitat!$K$26,0)+IF(C103=4,M103*Habitat!$L$26,0)+IF(C103=5,M103*Habitat!$M$26,0)</f>
        <v>0</v>
      </c>
      <c r="P103" s="48">
        <f>IF(C103=1,M103*Habitat!$I$25,0)+IF(C103=2,M103*Habitat!$J$25,0)+IF(C103=3,M103*Habitat!$K$25,0)+IF(C103=4,M103*Habitat!$L$25,0)+IF(C103=5,M103*Habitat!$M$25,0)</f>
        <v>0</v>
      </c>
      <c r="Q103" s="48">
        <f>IF(C103=1,M103*Habitat!$I$28,0)+IF(C103=2,M103*Habitat!$J$28,0)+IF(C103=3,M103*Habitat!$K$28,0)+IF(C103=4,M103*Habitat!$L$28,0)+IF(C103=5,M103*Habitat!$M$28,0)</f>
        <v>0</v>
      </c>
      <c r="R103" s="48">
        <f>IF(C103=1,M103*Habitat!$I$29,0)+IF(C103=2,M103*Habitat!$J$29,0)+IF(C103=3,M103*Habitat!$K$29,0)+IF(C103=4,M103*Habitat!$L$29,0)+IF(C103=5,M103*Habitat!$M$29,0)*IF(C103=7,M103*Habitat!$O$29,0)</f>
        <v>0</v>
      </c>
      <c r="S103">
        <f>IF(C103=1,M103*Habitat!$I$30,0)+IF(C103=2,M103*Habitat!$J$30,0)+IF(C103=3,M103*Habitat!$K$30,0)+IF(C103=4,M103*Habitat!$L$30,0)+IF(C103=5,M103*Habitat!$M$30,0)</f>
        <v>0</v>
      </c>
    </row>
    <row r="104" spans="1:19">
      <c r="A104">
        <f t="shared" si="47"/>
        <v>94</v>
      </c>
      <c r="C104" s="5">
        <v>3</v>
      </c>
      <c r="D104" s="56">
        <f>D103+Habitat!$C$16</f>
        <v>600</v>
      </c>
      <c r="E104" s="48">
        <f t="shared" si="20"/>
        <v>369</v>
      </c>
      <c r="F104" s="3">
        <f>Habitat!$D$13*D104</f>
        <v>16.8</v>
      </c>
      <c r="G104" s="3">
        <f t="shared" si="42"/>
        <v>0</v>
      </c>
      <c r="H104" s="3">
        <f t="shared" si="43"/>
        <v>0</v>
      </c>
      <c r="I104" s="3"/>
      <c r="J104" s="3"/>
      <c r="K104" s="3"/>
      <c r="L104" s="3">
        <f t="shared" si="45"/>
        <v>0</v>
      </c>
      <c r="M104" s="4">
        <f t="shared" si="48"/>
        <v>0</v>
      </c>
      <c r="N104" s="48">
        <f>IF(C104=1,M104*Habitat!$I$27,0)+IF(C104=2,M104*Habitat!$J$27,0)+IF(C104=3,M104*Habitat!$K$27,0)+IF(C104=4,M104*Habitat!$L$27,0)+IF(C104=5,M104*Habitat!$M$27,0)</f>
        <v>0</v>
      </c>
      <c r="O104" s="48">
        <f>IF(C104=1,M104*Habitat!$I$26,0)+IF(C104=2,M104*Habitat!$J$26,0)+IF(C104=3,M104*Habitat!$K$26,0)+IF(C104=4,M104*Habitat!$L$26,0)+IF(C104=5,M104*Habitat!$M$26,0)</f>
        <v>0</v>
      </c>
      <c r="P104" s="48">
        <f>IF(C104=1,M104*Habitat!$I$25,0)+IF(C104=2,M104*Habitat!$J$25,0)+IF(C104=3,M104*Habitat!$K$25,0)+IF(C104=4,M104*Habitat!$L$25,0)+IF(C104=5,M104*Habitat!$M$25,0)</f>
        <v>0</v>
      </c>
      <c r="Q104" s="48">
        <f>IF(C104=1,M104*Habitat!$I$28,0)+IF(C104=2,M104*Habitat!$J$28,0)+IF(C104=3,M104*Habitat!$K$28,0)+IF(C104=4,M104*Habitat!$L$28,0)+IF(C104=5,M104*Habitat!$M$28,0)</f>
        <v>0</v>
      </c>
      <c r="R104" s="48">
        <f>IF(C104=1,M104*Habitat!$I$29,0)+IF(C104=2,M104*Habitat!$J$29,0)+IF(C104=3,M104*Habitat!$K$29,0)+IF(C104=4,M104*Habitat!$L$29,0)+IF(C104=5,M104*Habitat!$M$29,0)*IF(C104=7,M104*Habitat!$O$29,0)</f>
        <v>0</v>
      </c>
      <c r="S104">
        <f>IF(C104=1,M104*Habitat!$I$30,0)+IF(C104=2,M104*Habitat!$J$30,0)+IF(C104=3,M104*Habitat!$K$30,0)+IF(C104=4,M104*Habitat!$L$30,0)+IF(C104=5,M104*Habitat!$M$30,0)</f>
        <v>0</v>
      </c>
    </row>
    <row r="105" spans="1:19">
      <c r="A105">
        <f t="shared" si="47"/>
        <v>95</v>
      </c>
      <c r="C105" s="5">
        <v>3</v>
      </c>
      <c r="D105" s="56">
        <f>D104+Habitat!$C$16</f>
        <v>605</v>
      </c>
      <c r="E105" s="48">
        <f t="shared" si="20"/>
        <v>374</v>
      </c>
      <c r="F105" s="3">
        <f>Habitat!$D$13*D105</f>
        <v>16.940000000000001</v>
      </c>
      <c r="G105" s="3">
        <f t="shared" si="42"/>
        <v>0</v>
      </c>
      <c r="H105" s="3">
        <f t="shared" si="43"/>
        <v>0</v>
      </c>
      <c r="I105" s="3"/>
      <c r="J105" s="3"/>
      <c r="K105" s="3"/>
      <c r="L105" s="3">
        <f t="shared" si="45"/>
        <v>0</v>
      </c>
      <c r="M105" s="4">
        <f t="shared" si="48"/>
        <v>0</v>
      </c>
      <c r="N105" s="48">
        <f>IF(C105=1,M105*Habitat!$I$27,0)+IF(C105=2,M105*Habitat!$J$27,0)+IF(C105=3,M105*Habitat!$K$27,0)+IF(C105=4,M105*Habitat!$L$27,0)+IF(C105=5,M105*Habitat!$M$27,0)</f>
        <v>0</v>
      </c>
      <c r="O105" s="48">
        <f>IF(C105=1,M105*Habitat!$I$26,0)+IF(C105=2,M105*Habitat!$J$26,0)+IF(C105=3,M105*Habitat!$K$26,0)+IF(C105=4,M105*Habitat!$L$26,0)+IF(C105=5,M105*Habitat!$M$26,0)</f>
        <v>0</v>
      </c>
      <c r="P105" s="48">
        <f>IF(C105=1,M105*Habitat!$I$25,0)+IF(C105=2,M105*Habitat!$J$25,0)+IF(C105=3,M105*Habitat!$K$25,0)+IF(C105=4,M105*Habitat!$L$25,0)+IF(C105=5,M105*Habitat!$M$25,0)</f>
        <v>0</v>
      </c>
      <c r="Q105" s="48">
        <f>IF(C105=1,M105*Habitat!$I$28,0)+IF(C105=2,M105*Habitat!$J$28,0)+IF(C105=3,M105*Habitat!$K$28,0)+IF(C105=4,M105*Habitat!$L$28,0)+IF(C105=5,M105*Habitat!$M$28,0)</f>
        <v>0</v>
      </c>
      <c r="R105" s="48">
        <f>IF(C105=1,M105*Habitat!$I$29,0)+IF(C105=2,M105*Habitat!$J$29,0)+IF(C105=3,M105*Habitat!$K$29,0)+IF(C105=4,M105*Habitat!$L$29,0)+IF(C105=5,M105*Habitat!$M$29,0)*IF(C105=7,M105*Habitat!$O$29,0)</f>
        <v>0</v>
      </c>
      <c r="S105">
        <f>IF(C105=1,M105*Habitat!$I$30,0)+IF(C105=2,M105*Habitat!$J$30,0)+IF(C105=3,M105*Habitat!$K$30,0)+IF(C105=4,M105*Habitat!$L$30,0)+IF(C105=5,M105*Habitat!$M$30,0)</f>
        <v>0</v>
      </c>
    </row>
    <row r="106" spans="1:19">
      <c r="A106">
        <f t="shared" si="47"/>
        <v>96</v>
      </c>
      <c r="C106" s="5">
        <v>3</v>
      </c>
      <c r="D106" s="56">
        <f>D105+Habitat!$C$16</f>
        <v>610</v>
      </c>
      <c r="E106" s="48">
        <f t="shared" si="20"/>
        <v>379</v>
      </c>
      <c r="F106" s="3">
        <f>Habitat!$D$13*D106</f>
        <v>17.080000000000002</v>
      </c>
      <c r="G106" s="3">
        <f t="shared" si="42"/>
        <v>0</v>
      </c>
      <c r="H106" s="3">
        <f t="shared" si="43"/>
        <v>0</v>
      </c>
      <c r="I106" s="3"/>
      <c r="J106" s="3"/>
      <c r="K106" s="3"/>
      <c r="L106" s="3">
        <f t="shared" si="45"/>
        <v>0</v>
      </c>
      <c r="M106" s="4">
        <f t="shared" si="48"/>
        <v>0</v>
      </c>
      <c r="N106" s="48">
        <f>IF(C106=1,M106*Habitat!$I$27,0)+IF(C106=2,M106*Habitat!$J$27,0)+IF(C106=3,M106*Habitat!$K$27,0)+IF(C106=4,M106*Habitat!$L$27,0)+IF(C106=5,M106*Habitat!$M$27,0)</f>
        <v>0</v>
      </c>
      <c r="O106" s="48">
        <f>IF(C106=1,M106*Habitat!$I$26,0)+IF(C106=2,M106*Habitat!$J$26,0)+IF(C106=3,M106*Habitat!$K$26,0)+IF(C106=4,M106*Habitat!$L$26,0)+IF(C106=5,M106*Habitat!$M$26,0)</f>
        <v>0</v>
      </c>
      <c r="P106" s="48">
        <f>IF(C106=1,M106*Habitat!$I$25,0)+IF(C106=2,M106*Habitat!$J$25,0)+IF(C106=3,M106*Habitat!$K$25,0)+IF(C106=4,M106*Habitat!$L$25,0)+IF(C106=5,M106*Habitat!$M$25,0)</f>
        <v>0</v>
      </c>
      <c r="Q106" s="48">
        <f>IF(C106=1,M106*Habitat!$I$28,0)+IF(C106=2,M106*Habitat!$J$28,0)+IF(C106=3,M106*Habitat!$K$28,0)+IF(C106=4,M106*Habitat!$L$28,0)+IF(C106=5,M106*Habitat!$M$28,0)</f>
        <v>0</v>
      </c>
      <c r="R106" s="48">
        <f>IF(C106=1,M106*Habitat!$I$29,0)+IF(C106=2,M106*Habitat!$J$29,0)+IF(C106=3,M106*Habitat!$K$29,0)+IF(C106=4,M106*Habitat!$L$29,0)+IF(C106=5,M106*Habitat!$M$29,0)*IF(C106=7,M106*Habitat!$O$29,0)</f>
        <v>0</v>
      </c>
      <c r="S106">
        <f>IF(C106=1,M106*Habitat!$I$30,0)+IF(C106=2,M106*Habitat!$J$30,0)+IF(C106=3,M106*Habitat!$K$30,0)+IF(C106=4,M106*Habitat!$L$30,0)+IF(C106=5,M106*Habitat!$M$30,0)</f>
        <v>0</v>
      </c>
    </row>
    <row r="107" spans="1:19">
      <c r="A107">
        <f t="shared" si="47"/>
        <v>97</v>
      </c>
      <c r="C107" s="5">
        <v>3</v>
      </c>
      <c r="D107" s="56">
        <f>D106+Habitat!$C$16</f>
        <v>615</v>
      </c>
      <c r="E107" s="48">
        <f t="shared" si="20"/>
        <v>384</v>
      </c>
      <c r="F107" s="3">
        <f>Habitat!$D$13*D107</f>
        <v>17.22</v>
      </c>
      <c r="G107" s="3">
        <f t="shared" si="42"/>
        <v>0</v>
      </c>
      <c r="H107" s="3">
        <f t="shared" si="43"/>
        <v>0</v>
      </c>
      <c r="I107" s="3"/>
      <c r="J107" s="3"/>
      <c r="K107" s="3"/>
      <c r="L107" s="3">
        <f t="shared" si="45"/>
        <v>0</v>
      </c>
      <c r="M107" s="4">
        <f t="shared" si="48"/>
        <v>0</v>
      </c>
      <c r="N107" s="48">
        <f>IF(C107=1,M107*Habitat!$I$27,0)+IF(C107=2,M107*Habitat!$J$27,0)+IF(C107=3,M107*Habitat!$K$27,0)+IF(C107=4,M107*Habitat!$L$27,0)+IF(C107=5,M107*Habitat!$M$27,0)</f>
        <v>0</v>
      </c>
      <c r="O107" s="48">
        <f>IF(C107=1,M107*Habitat!$I$26,0)+IF(C107=2,M107*Habitat!$J$26,0)+IF(C107=3,M107*Habitat!$K$26,0)+IF(C107=4,M107*Habitat!$L$26,0)+IF(C107=5,M107*Habitat!$M$26,0)</f>
        <v>0</v>
      </c>
      <c r="P107" s="48">
        <f>IF(C107=1,M107*Habitat!$I$25,0)+IF(C107=2,M107*Habitat!$J$25,0)+IF(C107=3,M107*Habitat!$K$25,0)+IF(C107=4,M107*Habitat!$L$25,0)+IF(C107=5,M107*Habitat!$M$25,0)</f>
        <v>0</v>
      </c>
      <c r="Q107" s="48">
        <f>IF(C107=1,M107*Habitat!$I$28,0)+IF(C107=2,M107*Habitat!$J$28,0)+IF(C107=3,M107*Habitat!$K$28,0)+IF(C107=4,M107*Habitat!$L$28,0)+IF(C107=5,M107*Habitat!$M$28,0)</f>
        <v>0</v>
      </c>
      <c r="R107" s="48">
        <f>IF(C107=1,M107*Habitat!$I$29,0)+IF(C107=2,M107*Habitat!$J$29,0)+IF(C107=3,M107*Habitat!$K$29,0)+IF(C107=4,M107*Habitat!$L$29,0)+IF(C107=5,M107*Habitat!$M$29,0)*IF(C107=7,M107*Habitat!$O$29,0)</f>
        <v>0</v>
      </c>
      <c r="S107">
        <f>IF(C107=1,M107*Habitat!$I$30,0)+IF(C107=2,M107*Habitat!$J$30,0)+IF(C107=3,M107*Habitat!$K$30,0)+IF(C107=4,M107*Habitat!$L$30,0)+IF(C107=5,M107*Habitat!$M$30,0)</f>
        <v>0</v>
      </c>
    </row>
    <row r="108" spans="1:19">
      <c r="A108">
        <f t="shared" si="47"/>
        <v>98</v>
      </c>
      <c r="C108" s="5">
        <v>3</v>
      </c>
      <c r="D108" s="56">
        <f>D107+Habitat!$C$16</f>
        <v>620</v>
      </c>
      <c r="E108" s="48">
        <f t="shared" si="20"/>
        <v>389</v>
      </c>
      <c r="F108" s="3">
        <f>Habitat!$D$13*D108</f>
        <v>17.36</v>
      </c>
      <c r="G108" s="3">
        <f t="shared" si="42"/>
        <v>0</v>
      </c>
      <c r="H108" s="3">
        <f t="shared" si="43"/>
        <v>0</v>
      </c>
      <c r="I108" s="3"/>
      <c r="J108" s="3"/>
      <c r="K108" s="3"/>
      <c r="L108" s="3">
        <f t="shared" si="45"/>
        <v>0</v>
      </c>
      <c r="M108" s="4">
        <f t="shared" si="48"/>
        <v>0</v>
      </c>
      <c r="N108" s="48">
        <f>IF(C108=1,M108*Habitat!$I$27,0)+IF(C108=2,M108*Habitat!$J$27,0)+IF(C108=3,M108*Habitat!$K$27,0)+IF(C108=4,M108*Habitat!$L$27,0)+IF(C108=5,M108*Habitat!$M$27,0)</f>
        <v>0</v>
      </c>
      <c r="O108" s="48">
        <f>IF(C108=1,M108*Habitat!$I$26,0)+IF(C108=2,M108*Habitat!$J$26,0)+IF(C108=3,M108*Habitat!$K$26,0)+IF(C108=4,M108*Habitat!$L$26,0)+IF(C108=5,M108*Habitat!$M$26,0)</f>
        <v>0</v>
      </c>
      <c r="P108" s="48">
        <f>IF(C108=1,M108*Habitat!$I$25,0)+IF(C108=2,M108*Habitat!$J$25,0)+IF(C108=3,M108*Habitat!$K$25,0)+IF(C108=4,M108*Habitat!$L$25,0)+IF(C108=5,M108*Habitat!$M$25,0)</f>
        <v>0</v>
      </c>
      <c r="Q108" s="48">
        <f>IF(C108=1,M108*Habitat!$I$28,0)+IF(C108=2,M108*Habitat!$J$28,0)+IF(C108=3,M108*Habitat!$K$28,0)+IF(C108=4,M108*Habitat!$L$28,0)+IF(C108=5,M108*Habitat!$M$28,0)</f>
        <v>0</v>
      </c>
      <c r="R108" s="48">
        <f>IF(C108=1,M108*Habitat!$I$29,0)+IF(C108=2,M108*Habitat!$J$29,0)+IF(C108=3,M108*Habitat!$K$29,0)+IF(C108=4,M108*Habitat!$L$29,0)+IF(C108=5,M108*Habitat!$M$29,0)*IF(C108=7,M108*Habitat!$O$29,0)</f>
        <v>0</v>
      </c>
      <c r="S108">
        <f>IF(C108=1,M108*Habitat!$I$30,0)+IF(C108=2,M108*Habitat!$J$30,0)+IF(C108=3,M108*Habitat!$K$30,0)+IF(C108=4,M108*Habitat!$L$30,0)+IF(C108=5,M108*Habitat!$M$30,0)</f>
        <v>0</v>
      </c>
    </row>
    <row r="109" spans="1:19">
      <c r="A109">
        <f t="shared" si="47"/>
        <v>99</v>
      </c>
      <c r="C109" s="5">
        <v>3</v>
      </c>
      <c r="D109" s="56">
        <f>D108+Habitat!$C$16</f>
        <v>625</v>
      </c>
      <c r="E109" s="48">
        <f t="shared" si="20"/>
        <v>394</v>
      </c>
      <c r="F109" s="3">
        <f>Habitat!$D$13*D109</f>
        <v>17.5</v>
      </c>
      <c r="G109" s="3">
        <f t="shared" si="42"/>
        <v>0</v>
      </c>
      <c r="H109" s="3">
        <f t="shared" si="43"/>
        <v>0</v>
      </c>
      <c r="I109" s="3"/>
      <c r="J109" s="3"/>
      <c r="K109" s="3"/>
      <c r="L109" s="3">
        <f t="shared" si="45"/>
        <v>0</v>
      </c>
      <c r="M109" s="4">
        <f t="shared" si="48"/>
        <v>0</v>
      </c>
      <c r="N109" s="48">
        <f>IF(C109=1,M109*Habitat!$I$27,0)+IF(C109=2,M109*Habitat!$J$27,0)+IF(C109=3,M109*Habitat!$K$27,0)+IF(C109=4,M109*Habitat!$L$27,0)+IF(C109=5,M109*Habitat!$M$27,0)</f>
        <v>0</v>
      </c>
      <c r="O109" s="48">
        <f>IF(C109=1,M109*Habitat!$I$26,0)+IF(C109=2,M109*Habitat!$J$26,0)+IF(C109=3,M109*Habitat!$K$26,0)+IF(C109=4,M109*Habitat!$L$26,0)+IF(C109=5,M109*Habitat!$M$26,0)</f>
        <v>0</v>
      </c>
      <c r="P109" s="48">
        <f>IF(C109=1,M109*Habitat!$I$25,0)+IF(C109=2,M109*Habitat!$J$25,0)+IF(C109=3,M109*Habitat!$K$25,0)+IF(C109=4,M109*Habitat!$L$25,0)+IF(C109=5,M109*Habitat!$M$25,0)</f>
        <v>0</v>
      </c>
      <c r="Q109" s="48">
        <f>IF(C109=1,M109*Habitat!$I$28,0)+IF(C109=2,M109*Habitat!$J$28,0)+IF(C109=3,M109*Habitat!$K$28,0)+IF(C109=4,M109*Habitat!$L$28,0)+IF(C109=5,M109*Habitat!$M$28,0)</f>
        <v>0</v>
      </c>
      <c r="R109" s="48">
        <f>IF(C109=1,M109*Habitat!$I$29,0)+IF(C109=2,M109*Habitat!$J$29,0)+IF(C109=3,M109*Habitat!$K$29,0)+IF(C109=4,M109*Habitat!$L$29,0)+IF(C109=5,M109*Habitat!$M$29,0)*IF(C109=7,M109*Habitat!$O$29,0)</f>
        <v>0</v>
      </c>
      <c r="S109">
        <f>IF(C109=1,M109*Habitat!$I$30,0)+IF(C109=2,M109*Habitat!$J$30,0)+IF(C109=3,M109*Habitat!$K$30,0)+IF(C109=4,M109*Habitat!$L$30,0)+IF(C109=5,M109*Habitat!$M$30,0)</f>
        <v>0</v>
      </c>
    </row>
    <row r="110" spans="1:19">
      <c r="A110">
        <f t="shared" si="47"/>
        <v>100</v>
      </c>
      <c r="C110" s="5">
        <v>3</v>
      </c>
      <c r="D110" s="56">
        <f>D109+Habitat!$C$16</f>
        <v>630</v>
      </c>
      <c r="E110" s="48">
        <f t="shared" ref="E110:E173" si="49">IF(D110&lt;=$C$7,D109-$C$7,D110-$C$7)</f>
        <v>399</v>
      </c>
      <c r="F110" s="3">
        <f>Habitat!$D$13*D110</f>
        <v>17.64</v>
      </c>
      <c r="G110" s="3">
        <f t="shared" si="42"/>
        <v>0</v>
      </c>
      <c r="H110" s="3">
        <f t="shared" si="43"/>
        <v>0</v>
      </c>
      <c r="I110" s="3"/>
      <c r="J110" s="3"/>
      <c r="K110" s="3"/>
      <c r="L110" s="3">
        <f t="shared" si="45"/>
        <v>0</v>
      </c>
      <c r="M110" s="4">
        <f t="shared" si="48"/>
        <v>0</v>
      </c>
      <c r="N110" s="48">
        <f>IF(C110=1,M110*Habitat!$I$27,0)+IF(C110=2,M110*Habitat!$J$27,0)+IF(C110=3,M110*Habitat!$K$27,0)+IF(C110=4,M110*Habitat!$L$27,0)+IF(C110=5,M110*Habitat!$M$27,0)</f>
        <v>0</v>
      </c>
      <c r="O110" s="48">
        <f>IF(C110=1,M110*Habitat!$I$26,0)+IF(C110=2,M110*Habitat!$J$26,0)+IF(C110=3,M110*Habitat!$K$26,0)+IF(C110=4,M110*Habitat!$L$26,0)+IF(C110=5,M110*Habitat!$M$26,0)</f>
        <v>0</v>
      </c>
      <c r="P110" s="48">
        <f>IF(C110=1,M110*Habitat!$I$25,0)+IF(C110=2,M110*Habitat!$J$25,0)+IF(C110=3,M110*Habitat!$K$25,0)+IF(C110=4,M110*Habitat!$L$25,0)+IF(C110=5,M110*Habitat!$M$25,0)</f>
        <v>0</v>
      </c>
      <c r="Q110" s="48">
        <f>IF(C110=1,M110*Habitat!$I$28,0)+IF(C110=2,M110*Habitat!$J$28,0)+IF(C110=3,M110*Habitat!$K$28,0)+IF(C110=4,M110*Habitat!$L$28,0)+IF(C110=5,M110*Habitat!$M$28,0)</f>
        <v>0</v>
      </c>
      <c r="R110" s="48">
        <f>IF(C110=1,M110*Habitat!$I$29,0)+IF(C110=2,M110*Habitat!$J$29,0)+IF(C110=3,M110*Habitat!$K$29,0)+IF(C110=4,M110*Habitat!$L$29,0)+IF(C110=5,M110*Habitat!$M$29,0)*IF(C110=7,M110*Habitat!$O$29,0)</f>
        <v>0</v>
      </c>
      <c r="S110">
        <f>IF(C110=1,M110*Habitat!$I$30,0)+IF(C110=2,M110*Habitat!$J$30,0)+IF(C110=3,M110*Habitat!$K$30,0)+IF(C110=4,M110*Habitat!$L$30,0)+IF(C110=5,M110*Habitat!$M$30,0)</f>
        <v>0</v>
      </c>
    </row>
    <row r="111" spans="1:19">
      <c r="A111">
        <f t="shared" si="47"/>
        <v>101</v>
      </c>
      <c r="C111" s="5">
        <v>3</v>
      </c>
      <c r="D111" s="56">
        <f>D110+Habitat!$C$16</f>
        <v>635</v>
      </c>
      <c r="E111" s="48">
        <f t="shared" si="49"/>
        <v>404</v>
      </c>
      <c r="F111" s="3">
        <f>Habitat!$D$13*D111</f>
        <v>17.78</v>
      </c>
      <c r="G111" s="3">
        <f t="shared" si="42"/>
        <v>0</v>
      </c>
      <c r="H111" s="3">
        <f t="shared" si="43"/>
        <v>0</v>
      </c>
      <c r="I111" s="3"/>
      <c r="J111" s="3"/>
      <c r="K111" s="3"/>
      <c r="L111" s="3">
        <f t="shared" si="45"/>
        <v>0</v>
      </c>
      <c r="M111" s="4">
        <f t="shared" si="48"/>
        <v>0</v>
      </c>
      <c r="N111" s="48">
        <f>IF(C111=1,M111*Habitat!$I$27,0)+IF(C111=2,M111*Habitat!$J$27,0)+IF(C111=3,M111*Habitat!$K$27,0)+IF(C111=4,M111*Habitat!$L$27,0)+IF(C111=5,M111*Habitat!$M$27,0)</f>
        <v>0</v>
      </c>
      <c r="O111" s="48">
        <f>IF(C111=1,M111*Habitat!$I$26,0)+IF(C111=2,M111*Habitat!$J$26,0)+IF(C111=3,M111*Habitat!$K$26,0)+IF(C111=4,M111*Habitat!$L$26,0)+IF(C111=5,M111*Habitat!$M$26,0)</f>
        <v>0</v>
      </c>
      <c r="P111" s="48">
        <f>IF(C111=1,M111*Habitat!$I$25,0)+IF(C111=2,M111*Habitat!$J$25,0)+IF(C111=3,M111*Habitat!$K$25,0)+IF(C111=4,M111*Habitat!$L$25,0)+IF(C111=5,M111*Habitat!$M$25,0)</f>
        <v>0</v>
      </c>
      <c r="Q111" s="48">
        <f>IF(C111=1,M111*Habitat!$I$28,0)+IF(C111=2,M111*Habitat!$J$28,0)+IF(C111=3,M111*Habitat!$K$28,0)+IF(C111=4,M111*Habitat!$L$28,0)+IF(C111=5,M111*Habitat!$M$28,0)</f>
        <v>0</v>
      </c>
      <c r="R111" s="48">
        <f>IF(C111=1,M111*Habitat!$I$29,0)+IF(C111=2,M111*Habitat!$J$29,0)+IF(C111=3,M111*Habitat!$K$29,0)+IF(C111=4,M111*Habitat!$L$29,0)+IF(C111=5,M111*Habitat!$M$29,0)*IF(C111=7,M111*Habitat!$O$29,0)</f>
        <v>0</v>
      </c>
      <c r="S111">
        <f>IF(C111=1,M111*Habitat!$I$30,0)+IF(C111=2,M111*Habitat!$J$30,0)+IF(C111=3,M111*Habitat!$K$30,0)+IF(C111=4,M111*Habitat!$L$30,0)+IF(C111=5,M111*Habitat!$M$30,0)</f>
        <v>0</v>
      </c>
    </row>
    <row r="112" spans="1:19">
      <c r="A112">
        <f t="shared" si="47"/>
        <v>102</v>
      </c>
      <c r="C112" s="5">
        <v>3</v>
      </c>
      <c r="D112" s="56">
        <f>D111+Habitat!$C$16</f>
        <v>640</v>
      </c>
      <c r="E112" s="48">
        <f t="shared" si="49"/>
        <v>409</v>
      </c>
      <c r="F112" s="3">
        <f>Habitat!$D$13*D112</f>
        <v>17.920000000000002</v>
      </c>
      <c r="G112" s="3">
        <f t="shared" si="42"/>
        <v>0</v>
      </c>
      <c r="H112" s="3">
        <f t="shared" si="43"/>
        <v>0</v>
      </c>
      <c r="I112" s="3"/>
      <c r="J112" s="3"/>
      <c r="K112" s="3"/>
      <c r="L112" s="3">
        <f t="shared" si="45"/>
        <v>0</v>
      </c>
      <c r="M112" s="4">
        <f t="shared" si="48"/>
        <v>0</v>
      </c>
      <c r="N112" s="48">
        <f>IF(C112=1,M112*Habitat!$I$27,0)+IF(C112=2,M112*Habitat!$J$27,0)+IF(C112=3,M112*Habitat!$K$27,0)+IF(C112=4,M112*Habitat!$L$27,0)+IF(C112=5,M112*Habitat!$M$27,0)</f>
        <v>0</v>
      </c>
      <c r="O112" s="48">
        <f>IF(C112=1,M112*Habitat!$I$26,0)+IF(C112=2,M112*Habitat!$J$26,0)+IF(C112=3,M112*Habitat!$K$26,0)+IF(C112=4,M112*Habitat!$L$26,0)+IF(C112=5,M112*Habitat!$M$26,0)</f>
        <v>0</v>
      </c>
      <c r="P112" s="48">
        <f>IF(C112=1,M112*Habitat!$I$25,0)+IF(C112=2,M112*Habitat!$J$25,0)+IF(C112=3,M112*Habitat!$K$25,0)+IF(C112=4,M112*Habitat!$L$25,0)+IF(C112=5,M112*Habitat!$M$25,0)</f>
        <v>0</v>
      </c>
      <c r="Q112" s="48">
        <f>IF(C112=1,M112*Habitat!$I$28,0)+IF(C112=2,M112*Habitat!$J$28,0)+IF(C112=3,M112*Habitat!$K$28,0)+IF(C112=4,M112*Habitat!$L$28,0)+IF(C112=5,M112*Habitat!$M$28,0)</f>
        <v>0</v>
      </c>
      <c r="R112" s="48">
        <f>IF(C112=1,M112*Habitat!$I$29,0)+IF(C112=2,M112*Habitat!$J$29,0)+IF(C112=3,M112*Habitat!$K$29,0)+IF(C112=4,M112*Habitat!$L$29,0)+IF(C112=5,M112*Habitat!$M$29,0)*IF(C112=7,M112*Habitat!$O$29,0)</f>
        <v>0</v>
      </c>
      <c r="S112">
        <f>IF(C112=1,M112*Habitat!$I$30,0)+IF(C112=2,M112*Habitat!$J$30,0)+IF(C112=3,M112*Habitat!$K$30,0)+IF(C112=4,M112*Habitat!$L$30,0)+IF(C112=5,M112*Habitat!$M$30,0)</f>
        <v>0</v>
      </c>
    </row>
    <row r="113" spans="1:19">
      <c r="A113">
        <f t="shared" si="47"/>
        <v>103</v>
      </c>
      <c r="C113" s="5">
        <v>3</v>
      </c>
      <c r="D113" s="56">
        <f>D112+Habitat!$C$16</f>
        <v>645</v>
      </c>
      <c r="E113" s="48">
        <f t="shared" si="49"/>
        <v>414</v>
      </c>
      <c r="F113" s="3">
        <f>Habitat!$D$13*D113</f>
        <v>18.059999999999999</v>
      </c>
      <c r="G113" s="3">
        <f t="shared" si="42"/>
        <v>0</v>
      </c>
      <c r="H113" s="3">
        <f t="shared" si="43"/>
        <v>0</v>
      </c>
      <c r="I113" s="3"/>
      <c r="J113" s="3"/>
      <c r="K113" s="3"/>
      <c r="L113" s="3">
        <f t="shared" si="45"/>
        <v>0</v>
      </c>
      <c r="M113" s="4">
        <f t="shared" si="48"/>
        <v>0</v>
      </c>
      <c r="N113" s="48">
        <f>IF(C113=1,M113*Habitat!$I$27,0)+IF(C113=2,M113*Habitat!$J$27,0)+IF(C113=3,M113*Habitat!$K$27,0)+IF(C113=4,M113*Habitat!$L$27,0)+IF(C113=5,M113*Habitat!$M$27,0)</f>
        <v>0</v>
      </c>
      <c r="O113" s="48">
        <f>IF(C113=1,M113*Habitat!$I$26,0)+IF(C113=2,M113*Habitat!$J$26,0)+IF(C113=3,M113*Habitat!$K$26,0)+IF(C113=4,M113*Habitat!$L$26,0)+IF(C113=5,M113*Habitat!$M$26,0)</f>
        <v>0</v>
      </c>
      <c r="P113" s="48">
        <f>IF(C113=1,M113*Habitat!$I$25,0)+IF(C113=2,M113*Habitat!$J$25,0)+IF(C113=3,M113*Habitat!$K$25,0)+IF(C113=4,M113*Habitat!$L$25,0)+IF(C113=5,M113*Habitat!$M$25,0)</f>
        <v>0</v>
      </c>
      <c r="Q113" s="48">
        <f>IF(C113=1,M113*Habitat!$I$28,0)+IF(C113=2,M113*Habitat!$J$28,0)+IF(C113=3,M113*Habitat!$K$28,0)+IF(C113=4,M113*Habitat!$L$28,0)+IF(C113=5,M113*Habitat!$M$28,0)</f>
        <v>0</v>
      </c>
      <c r="R113" s="48">
        <f>IF(C113=1,M113*Habitat!$I$29,0)+IF(C113=2,M113*Habitat!$J$29,0)+IF(C113=3,M113*Habitat!$K$29,0)+IF(C113=4,M113*Habitat!$L$29,0)+IF(C113=5,M113*Habitat!$M$29,0)</f>
        <v>0</v>
      </c>
      <c r="S113">
        <f>IF(C113=1,M113*Habitat!$I$30,0)+IF(C113=2,M113*Habitat!$J$30,0)+IF(C113=3,M113*Habitat!$K$30,0)+IF(C113=4,M113*Habitat!$L$30,0)+IF(C113=5,M113*Habitat!$M$30,0)</f>
        <v>0</v>
      </c>
    </row>
    <row r="114" spans="1:19">
      <c r="A114">
        <f t="shared" si="47"/>
        <v>104</v>
      </c>
      <c r="C114" s="5">
        <v>3</v>
      </c>
      <c r="D114" s="56">
        <f>D113+Habitat!$C$16</f>
        <v>650</v>
      </c>
      <c r="E114" s="48">
        <f t="shared" si="49"/>
        <v>419</v>
      </c>
      <c r="F114" s="3">
        <f>Habitat!$D$13*D114</f>
        <v>18.2</v>
      </c>
      <c r="G114" s="3">
        <f t="shared" si="42"/>
        <v>0</v>
      </c>
      <c r="H114" s="3">
        <f t="shared" si="43"/>
        <v>0</v>
      </c>
      <c r="I114" s="3"/>
      <c r="J114" s="3"/>
      <c r="K114" s="3"/>
      <c r="L114" s="3">
        <f t="shared" si="45"/>
        <v>0</v>
      </c>
      <c r="M114" s="4">
        <f t="shared" si="48"/>
        <v>0</v>
      </c>
      <c r="N114" s="48">
        <f>IF(C114=1,M114*Habitat!$I$27,0)+IF(C114=2,M114*Habitat!$J$27,0)+IF(C114=3,M114*Habitat!$K$27,0)+IF(C114=4,M114*Habitat!$L$27,0)+IF(C114=5,M114*Habitat!$M$27,0)</f>
        <v>0</v>
      </c>
      <c r="O114" s="48">
        <f>IF(C114=1,M114*Habitat!$I$26,0)+IF(C114=2,M114*Habitat!$J$26,0)+IF(C114=3,M114*Habitat!$K$26,0)+IF(C114=4,M114*Habitat!$L$26,0)+IF(C114=5,M114*Habitat!$M$26,0)</f>
        <v>0</v>
      </c>
      <c r="P114" s="48">
        <f>IF(C114=1,M114*Habitat!$I$25,0)+IF(C114=2,M114*Habitat!$J$25,0)+IF(C114=3,M114*Habitat!$K$25,0)+IF(C114=4,M114*Habitat!$L$25,0)+IF(C114=5,M114*Habitat!$M$25,0)</f>
        <v>0</v>
      </c>
      <c r="Q114" s="48">
        <f>IF(C114=1,M114*Habitat!$I$28,0)+IF(C114=2,M114*Habitat!$J$28,0)+IF(C114=3,M114*Habitat!$K$28,0)+IF(C114=4,M114*Habitat!$L$28,0)+IF(C114=5,M114*Habitat!$M$28,0)</f>
        <v>0</v>
      </c>
      <c r="R114" s="48">
        <f>IF(C114=1,M114*Habitat!$I$29,0)+IF(C114=2,M114*Habitat!$J$29,0)+IF(C114=3,M114*Habitat!$K$29,0)+IF(C114=4,M114*Habitat!$L$29,0)+IF(C114=5,M114*Habitat!$M$29,0)</f>
        <v>0</v>
      </c>
      <c r="S114">
        <f>IF(C114=1,M114*Habitat!$I$30,0)+IF(C114=2,M114*Habitat!$J$30,0)+IF(C114=3,M114*Habitat!$K$30,0)+IF(C114=4,M114*Habitat!$L$30,0)+IF(C114=5,M114*Habitat!$M$30,0)</f>
        <v>0</v>
      </c>
    </row>
    <row r="115" spans="1:19">
      <c r="A115">
        <f t="shared" ref="A115:A128" si="50">A114+1</f>
        <v>105</v>
      </c>
      <c r="C115" s="5">
        <v>3</v>
      </c>
      <c r="D115" s="56">
        <f>D114+Habitat!$C$16</f>
        <v>655</v>
      </c>
      <c r="E115" s="48">
        <f t="shared" si="49"/>
        <v>424</v>
      </c>
      <c r="F115" s="3">
        <f>Habitat!$D$13*D115</f>
        <v>18.34</v>
      </c>
      <c r="G115" s="3">
        <f t="shared" si="42"/>
        <v>0</v>
      </c>
      <c r="H115" s="3">
        <f t="shared" si="43"/>
        <v>0</v>
      </c>
      <c r="I115" s="3"/>
      <c r="J115" s="3"/>
      <c r="K115" s="3"/>
      <c r="L115" s="3">
        <f t="shared" si="45"/>
        <v>0</v>
      </c>
      <c r="M115" s="4">
        <f t="shared" si="48"/>
        <v>0</v>
      </c>
      <c r="N115" s="48">
        <f>IF(C115=1,M115*Habitat!$I$27,0)+IF(C115=2,M115*Habitat!$J$27,0)+IF(C115=3,M115*Habitat!$K$27,0)+IF(C115=4,M115*Habitat!$L$27,0)+IF(C115=5,M115*Habitat!$M$27,0)</f>
        <v>0</v>
      </c>
      <c r="O115" s="48">
        <f>IF(C115=1,M115*Habitat!$I$26,0)+IF(C115=2,M115*Habitat!$J$26,0)+IF(C115=3,M115*Habitat!$K$26,0)+IF(C115=4,M115*Habitat!$L$26,0)+IF(C115=5,M115*Habitat!$M$26,0)</f>
        <v>0</v>
      </c>
      <c r="P115" s="48">
        <f>IF(C115=1,M115*Habitat!$I$25,0)+IF(C115=2,M115*Habitat!$J$25,0)+IF(C115=3,M115*Habitat!$K$25,0)+IF(C115=4,M115*Habitat!$L$25,0)+IF(C115=5,M115*Habitat!$M$25,0)</f>
        <v>0</v>
      </c>
      <c r="Q115" s="48">
        <f>IF(C115=1,M115*Habitat!$I$28,0)+IF(C115=2,M115*Habitat!$J$28,0)+IF(C115=3,M115*Habitat!$K$28,0)+IF(C115=4,M115*Habitat!$L$28,0)+IF(C115=5,M115*Habitat!$M$28,0)</f>
        <v>0</v>
      </c>
      <c r="R115" s="48">
        <f>IF(C115=1,M115*Habitat!$I$29,0)+IF(C115=2,M115*Habitat!$J$29,0)+IF(C115=3,M115*Habitat!$K$29,0)+IF(C115=4,M115*Habitat!$L$29,0)+IF(C115=5,M115*Habitat!$M$29,0)</f>
        <v>0</v>
      </c>
      <c r="S115">
        <f>IF(C115=1,M115*Habitat!$I$30,0)+IF(C115=2,M115*Habitat!$J$30,0)+IF(C115=3,M115*Habitat!$K$30,0)+IF(C115=4,M115*Habitat!$L$30,0)+IF(C115=5,M115*Habitat!$M$30,0)</f>
        <v>0</v>
      </c>
    </row>
    <row r="116" spans="1:19">
      <c r="A116">
        <f t="shared" si="50"/>
        <v>106</v>
      </c>
      <c r="C116" s="5">
        <v>3</v>
      </c>
      <c r="D116" s="56">
        <f>D115+Habitat!$C$16</f>
        <v>660</v>
      </c>
      <c r="E116" s="48">
        <f t="shared" si="49"/>
        <v>429</v>
      </c>
      <c r="F116" s="3">
        <f>Habitat!$D$13*D116</f>
        <v>18.48</v>
      </c>
      <c r="G116" s="3">
        <f t="shared" si="42"/>
        <v>0</v>
      </c>
      <c r="H116" s="3">
        <f t="shared" si="43"/>
        <v>0</v>
      </c>
      <c r="I116" s="3"/>
      <c r="J116" s="3"/>
      <c r="K116" s="3"/>
      <c r="L116" s="3">
        <f t="shared" si="45"/>
        <v>0</v>
      </c>
      <c r="M116" s="4">
        <f t="shared" si="48"/>
        <v>0</v>
      </c>
      <c r="N116" s="48">
        <f>IF(C116=1,M116*Habitat!$I$27,0)+IF(C116=2,M116*Habitat!$J$27,0)+IF(C116=3,M116*Habitat!$K$27,0)+IF(C116=4,M116*Habitat!$L$27,0)+IF(C116=5,M116*Habitat!$M$27,0)</f>
        <v>0</v>
      </c>
      <c r="O116" s="48">
        <f>IF(C116=1,M116*Habitat!$I$26,0)+IF(C116=2,M116*Habitat!$J$26,0)+IF(C116=3,M116*Habitat!$K$26,0)+IF(C116=4,M116*Habitat!$L$26,0)+IF(C116=5,M116*Habitat!$M$26,0)</f>
        <v>0</v>
      </c>
      <c r="P116" s="48">
        <f>IF(C116=1,M116*Habitat!$I$25,0)+IF(C116=2,M116*Habitat!$J$25,0)+IF(C116=3,M116*Habitat!$K$25,0)+IF(C116=4,M116*Habitat!$L$25,0)+IF(C116=5,M116*Habitat!$M$25,0)</f>
        <v>0</v>
      </c>
      <c r="Q116" s="48">
        <f>IF(C116=1,M116*Habitat!$I$28,0)+IF(C116=2,M116*Habitat!$J$28,0)+IF(C116=3,M116*Habitat!$K$28,0)+IF(C116=4,M116*Habitat!$L$28,0)+IF(C116=5,M116*Habitat!$M$28,0)</f>
        <v>0</v>
      </c>
      <c r="R116" s="48">
        <f>IF(C116=1,M116*Habitat!$I$29,0)+IF(C116=2,M116*Habitat!$J$29,0)+IF(C116=3,M116*Habitat!$K$29,0)+IF(C116=4,M116*Habitat!$L$29,0)+IF(C116=5,M116*Habitat!$M$29,0)</f>
        <v>0</v>
      </c>
      <c r="S116">
        <f>IF(C116=1,M116*Habitat!$I$30,0)+IF(C116=2,M116*Habitat!$J$30,0)+IF(C116=3,M116*Habitat!$K$30,0)+IF(C116=4,M116*Habitat!$L$30,0)+IF(C116=5,M116*Habitat!$M$30,0)</f>
        <v>0</v>
      </c>
    </row>
    <row r="117" spans="1:19">
      <c r="A117">
        <f t="shared" si="50"/>
        <v>107</v>
      </c>
      <c r="C117" s="5">
        <v>3</v>
      </c>
      <c r="D117" s="56">
        <f>D116+Habitat!$C$16</f>
        <v>665</v>
      </c>
      <c r="E117" s="48">
        <f t="shared" si="49"/>
        <v>434</v>
      </c>
      <c r="F117" s="3">
        <f>Habitat!$D$13*D117</f>
        <v>18.62</v>
      </c>
      <c r="G117" s="3">
        <f t="shared" si="42"/>
        <v>0</v>
      </c>
      <c r="H117" s="3">
        <f t="shared" si="43"/>
        <v>0</v>
      </c>
      <c r="I117" s="3"/>
      <c r="J117" s="3"/>
      <c r="K117" s="3"/>
      <c r="L117" s="3">
        <f t="shared" si="45"/>
        <v>0</v>
      </c>
      <c r="M117" s="4">
        <f t="shared" si="48"/>
        <v>0</v>
      </c>
      <c r="N117" s="48">
        <f>IF(C117=1,M117*Habitat!$I$27,0)+IF(C117=2,M117*Habitat!$J$27,0)+IF(C117=3,M117*Habitat!$K$27,0)+IF(C117=4,M117*Habitat!$L$27,0)+IF(C117=5,M117*Habitat!$M$27,0)</f>
        <v>0</v>
      </c>
      <c r="O117" s="48">
        <f>IF(C117=1,M117*Habitat!$I$26,0)+IF(C117=2,M117*Habitat!$J$26,0)+IF(C117=3,M117*Habitat!$K$26,0)+IF(C117=4,M117*Habitat!$L$26,0)+IF(C117=5,M117*Habitat!$M$26,0)</f>
        <v>0</v>
      </c>
      <c r="P117" s="48">
        <f>IF(C117=1,M117*Habitat!$I$25,0)+IF(C117=2,M117*Habitat!$J$25,0)+IF(C117=3,M117*Habitat!$K$25,0)+IF(C117=4,M117*Habitat!$L$25,0)+IF(C117=5,M117*Habitat!$M$25,0)</f>
        <v>0</v>
      </c>
      <c r="Q117" s="48">
        <f>IF(C117=1,M117*Habitat!$I$28,0)+IF(C117=2,M117*Habitat!$J$28,0)+IF(C117=3,M117*Habitat!$K$28,0)+IF(C117=4,M117*Habitat!$L$28,0)+IF(C117=5,M117*Habitat!$M$28,0)</f>
        <v>0</v>
      </c>
      <c r="R117" s="48">
        <f>IF(C117=1,M117*Habitat!$I$29,0)+IF(C117=2,M117*Habitat!$J$29,0)+IF(C117=3,M117*Habitat!$K$29,0)+IF(C117=4,M117*Habitat!$L$29,0)+IF(C117=5,M117*Habitat!$M$29,0)</f>
        <v>0</v>
      </c>
      <c r="S117">
        <f>IF(C117=1,M117*Habitat!$I$30,0)+IF(C117=2,M117*Habitat!$J$30,0)+IF(C117=3,M117*Habitat!$K$30,0)+IF(C117=4,M117*Habitat!$L$30,0)+IF(C117=5,M117*Habitat!$M$30,0)</f>
        <v>0</v>
      </c>
    </row>
    <row r="118" spans="1:19">
      <c r="A118">
        <f t="shared" si="50"/>
        <v>108</v>
      </c>
      <c r="C118" s="5">
        <v>3</v>
      </c>
      <c r="D118" s="56">
        <f>D117+Habitat!$C$16</f>
        <v>670</v>
      </c>
      <c r="E118" s="48">
        <f t="shared" si="49"/>
        <v>439</v>
      </c>
      <c r="F118" s="3">
        <f>Habitat!$D$13*D118</f>
        <v>18.760000000000002</v>
      </c>
      <c r="G118" s="3">
        <f t="shared" si="42"/>
        <v>0</v>
      </c>
      <c r="H118" s="3">
        <f t="shared" si="43"/>
        <v>0</v>
      </c>
      <c r="I118" s="3"/>
      <c r="J118" s="3"/>
      <c r="K118" s="3"/>
      <c r="L118" s="3">
        <f t="shared" si="45"/>
        <v>0</v>
      </c>
      <c r="M118" s="4">
        <f t="shared" si="48"/>
        <v>0</v>
      </c>
      <c r="N118" s="48">
        <f>IF(C118=1,M118*Habitat!$I$27,0)+IF(C118=2,M118*Habitat!$J$27,0)+IF(C118=3,M118*Habitat!$K$27,0)+IF(C118=4,M118*Habitat!$L$27,0)+IF(C118=5,M118*Habitat!$M$27,0)</f>
        <v>0</v>
      </c>
      <c r="O118" s="48">
        <f>IF(C118=1,M118*Habitat!$I$26,0)+IF(C118=2,M118*Habitat!$J$26,0)+IF(C118=3,M118*Habitat!$K$26,0)+IF(C118=4,M118*Habitat!$L$26,0)+IF(C118=5,M118*Habitat!$M$26,0)</f>
        <v>0</v>
      </c>
      <c r="P118" s="48">
        <f>IF(C118=1,M118*Habitat!$I$25,0)+IF(C118=2,M118*Habitat!$J$25,0)+IF(C118=3,M118*Habitat!$K$25,0)+IF(C118=4,M118*Habitat!$L$25,0)+IF(C118=5,M118*Habitat!$M$25,0)</f>
        <v>0</v>
      </c>
      <c r="Q118" s="48">
        <f>IF(C118=1,M118*Habitat!$I$28,0)+IF(C118=2,M118*Habitat!$J$28,0)+IF(C118=3,M118*Habitat!$K$28,0)+IF(C118=4,M118*Habitat!$L$28,0)+IF(C118=5,M118*Habitat!$M$28,0)</f>
        <v>0</v>
      </c>
      <c r="R118" s="48">
        <f>IF(C118=1,M118*Habitat!$I$29,0)+IF(C118=2,M118*Habitat!$J$29,0)+IF(C118=3,M118*Habitat!$K$29,0)+IF(C118=4,M118*Habitat!$L$29,0)+IF(C118=5,M118*Habitat!$M$29,0)</f>
        <v>0</v>
      </c>
      <c r="S118">
        <f>IF(C118=1,M118*Habitat!$I$30,0)+IF(C118=2,M118*Habitat!$J$30,0)+IF(C118=3,M118*Habitat!$K$30,0)+IF(C118=4,M118*Habitat!$L$30,0)+IF(C118=5,M118*Habitat!$M$30,0)</f>
        <v>0</v>
      </c>
    </row>
    <row r="119" spans="1:19">
      <c r="A119">
        <f t="shared" si="50"/>
        <v>109</v>
      </c>
      <c r="C119" s="5">
        <v>3</v>
      </c>
      <c r="D119" s="56">
        <f>D118+Habitat!$C$16</f>
        <v>675</v>
      </c>
      <c r="E119" s="48">
        <f t="shared" si="49"/>
        <v>444</v>
      </c>
      <c r="F119" s="3">
        <f>Habitat!$D$13*D119</f>
        <v>18.900000000000002</v>
      </c>
      <c r="G119" s="3">
        <f t="shared" si="42"/>
        <v>0</v>
      </c>
      <c r="H119" s="3">
        <f t="shared" si="43"/>
        <v>0</v>
      </c>
      <c r="I119" s="3"/>
      <c r="J119" s="3"/>
      <c r="K119" s="3"/>
      <c r="L119" s="3">
        <f t="shared" si="45"/>
        <v>0</v>
      </c>
      <c r="M119" s="4">
        <f t="shared" si="48"/>
        <v>0</v>
      </c>
      <c r="N119" s="48">
        <f>IF(C119=1,M119*Habitat!$I$27,0)+IF(C119=2,M119*Habitat!$J$27,0)+IF(C119=3,M119*Habitat!$K$27,0)+IF(C119=4,M119*Habitat!$L$27,0)+IF(C119=5,M119*Habitat!$M$27,0)</f>
        <v>0</v>
      </c>
      <c r="O119" s="48">
        <f>IF(C119=1,M119*Habitat!$I$26,0)+IF(C119=2,M119*Habitat!$J$26,0)+IF(C119=3,M119*Habitat!$K$26,0)+IF(C119=4,M119*Habitat!$L$26,0)+IF(C119=5,M119*Habitat!$M$26,0)</f>
        <v>0</v>
      </c>
      <c r="P119" s="48">
        <f>IF(C119=1,M119*Habitat!$I$25,0)+IF(C119=2,M119*Habitat!$J$25,0)+IF(C119=3,M119*Habitat!$K$25,0)+IF(C119=4,M119*Habitat!$L$25,0)+IF(C119=5,M119*Habitat!$M$25,0)</f>
        <v>0</v>
      </c>
      <c r="Q119" s="48">
        <f>IF(C119=1,M119*Habitat!$I$28,0)+IF(C119=2,M119*Habitat!$J$28,0)+IF(C119=3,M119*Habitat!$K$28,0)+IF(C119=4,M119*Habitat!$L$28,0)+IF(C119=5,M119*Habitat!$M$28,0)</f>
        <v>0</v>
      </c>
      <c r="R119" s="48">
        <f>IF(C119=1,M119*Habitat!$I$29,0)+IF(C119=2,M119*Habitat!$J$29,0)+IF(C119=3,M119*Habitat!$K$29,0)+IF(C119=4,M119*Habitat!$L$29,0)+IF(C119=5,M119*Habitat!$M$29,0)</f>
        <v>0</v>
      </c>
      <c r="S119">
        <f>IF(C119=1,M119*Habitat!$I$30,0)+IF(C119=2,M119*Habitat!$J$30,0)+IF(C119=3,M119*Habitat!$K$30,0)+IF(C119=4,M119*Habitat!$L$30,0)+IF(C119=5,M119*Habitat!$M$30,0)</f>
        <v>0</v>
      </c>
    </row>
    <row r="120" spans="1:19">
      <c r="A120">
        <f t="shared" si="50"/>
        <v>110</v>
      </c>
      <c r="C120" s="5">
        <v>3</v>
      </c>
      <c r="D120" s="56">
        <f>D119+Habitat!$C$16</f>
        <v>680</v>
      </c>
      <c r="E120" s="48">
        <f t="shared" si="49"/>
        <v>449</v>
      </c>
      <c r="F120" s="3">
        <f>Habitat!$D$13*D120</f>
        <v>19.04</v>
      </c>
      <c r="G120" s="3">
        <f t="shared" si="42"/>
        <v>0</v>
      </c>
      <c r="H120" s="3">
        <f t="shared" si="43"/>
        <v>0</v>
      </c>
      <c r="I120" s="3"/>
      <c r="J120" s="3"/>
      <c r="K120" s="3"/>
      <c r="L120" s="3">
        <f t="shared" si="45"/>
        <v>0</v>
      </c>
      <c r="M120" s="4">
        <f t="shared" si="48"/>
        <v>0</v>
      </c>
      <c r="N120" s="48">
        <f>IF(C120=1,M120*Habitat!$I$27,0)+IF(C120=2,M120*Habitat!$J$27,0)+IF(C120=3,M120*Habitat!$K$27,0)+IF(C120=4,M120*Habitat!$L$27,0)+IF(C120=5,M120*Habitat!$M$27,0)</f>
        <v>0</v>
      </c>
      <c r="O120" s="48">
        <f>IF(C120=1,M120*Habitat!$I$26,0)+IF(C120=2,M120*Habitat!$J$26,0)+IF(C120=3,M120*Habitat!$K$26,0)+IF(C120=4,M120*Habitat!$L$26,0)+IF(C120=5,M120*Habitat!$M$26,0)</f>
        <v>0</v>
      </c>
      <c r="P120" s="48">
        <f>IF(C120=1,M120*Habitat!$I$25,0)+IF(C120=2,M120*Habitat!$J$25,0)+IF(C120=3,M120*Habitat!$K$25,0)+IF(C120=4,M120*Habitat!$L$25,0)+IF(C120=5,M120*Habitat!$M$25,0)</f>
        <v>0</v>
      </c>
      <c r="Q120" s="48">
        <f>IF(C120=1,M120*Habitat!$I$28,0)+IF(C120=2,M120*Habitat!$J$28,0)+IF(C120=3,M120*Habitat!$K$28,0)+IF(C120=4,M120*Habitat!$L$28,0)+IF(C120=5,M120*Habitat!$M$28,0)</f>
        <v>0</v>
      </c>
      <c r="R120" s="48">
        <f>IF(C120=1,M120*Habitat!$I$29,0)+IF(C120=2,M120*Habitat!$J$29,0)+IF(C120=3,M120*Habitat!$K$29,0)+IF(C120=4,M120*Habitat!$L$29,0)+IF(C120=5,M120*Habitat!$M$29,0)</f>
        <v>0</v>
      </c>
      <c r="S120">
        <f>IF(C120=1,M120*Habitat!$I$30,0)+IF(C120=2,M120*Habitat!$J$30,0)+IF(C120=3,M120*Habitat!$K$30,0)+IF(C120=4,M120*Habitat!$L$30,0)+IF(C120=5,M120*Habitat!$M$30,0)</f>
        <v>0</v>
      </c>
    </row>
    <row r="121" spans="1:19">
      <c r="A121">
        <f t="shared" si="50"/>
        <v>111</v>
      </c>
      <c r="C121" s="5">
        <v>3</v>
      </c>
      <c r="D121" s="56">
        <f>D120+Habitat!$C$16</f>
        <v>685</v>
      </c>
      <c r="E121" s="48">
        <f t="shared" si="49"/>
        <v>454</v>
      </c>
      <c r="F121" s="3">
        <f>Habitat!$D$13*D121</f>
        <v>19.18</v>
      </c>
      <c r="G121" s="3">
        <f t="shared" si="42"/>
        <v>0</v>
      </c>
      <c r="H121" s="3">
        <f t="shared" si="43"/>
        <v>0</v>
      </c>
      <c r="I121" s="3"/>
      <c r="J121" s="3"/>
      <c r="K121" s="3"/>
      <c r="L121" s="3">
        <f t="shared" si="45"/>
        <v>0</v>
      </c>
      <c r="M121">
        <f t="shared" ref="M121:M162" si="51">PI()*H121*H121</f>
        <v>0</v>
      </c>
      <c r="N121" s="48">
        <f>IF(C121=1,M121*Habitat!$I$27,0)+IF(C121=2,M121*Habitat!$J$27,0)+IF(C121=3,M121*Habitat!$K$27,0)+IF(C121=4,M121*Habitat!$L$27,0)+IF(C121=5,M121*Habitat!$M$27,0)</f>
        <v>0</v>
      </c>
      <c r="O121" s="48">
        <f>IF(C121=1,M121*Habitat!$I$26,0)+IF(C121=2,M121*Habitat!$J$26,0)+IF(C121=3,M121*Habitat!$K$26,0)+IF(C121=4,M121*Habitat!$L$26,0)+IF(C121=5,M121*Habitat!$M$26,0)</f>
        <v>0</v>
      </c>
      <c r="P121" s="48">
        <f>IF(C121=1,M121*Habitat!$I$25,0)+IF(C121=2,M121*Habitat!$J$25,0)+IF(C121=3,M121*Habitat!$K$25,0)+IF(C121=4,M121*Habitat!$L$25,0)+IF(C121=5,M121*Habitat!$M$25,0)</f>
        <v>0</v>
      </c>
      <c r="Q121" s="48">
        <f>IF(C121=1,M121*Habitat!$I$28,0)+IF(C121=2,M121*Habitat!$J$28,0)+IF(C121=3,M121*Habitat!$K$28,0)+IF(C121=4,M121*Habitat!$L$28,0)+IF(C121=5,M121*Habitat!$M$28,0)</f>
        <v>0</v>
      </c>
      <c r="R121" s="48">
        <f>IF(C121=1,M121*Habitat!$I$29,0)+IF(C121=2,M121*Habitat!$J$29,0)+IF(C121=3,M121*Habitat!$K$29,0)+IF(C121=4,M121*Habitat!$L$29,0)+IF(C121=5,M121*Habitat!$M$29,0)</f>
        <v>0</v>
      </c>
      <c r="S121">
        <f>IF(C121=1,M121*Habitat!$I$30,0)+IF(C121=2,M121*Habitat!$J$30,0)+IF(C121=3,M121*Habitat!$K$30,0)+IF(C121=4,M121*Habitat!$L$30,0)+IF(C121=5,M121*Habitat!$M$30,0)</f>
        <v>0</v>
      </c>
    </row>
    <row r="122" spans="1:19">
      <c r="A122">
        <f t="shared" si="50"/>
        <v>112</v>
      </c>
      <c r="C122" s="5">
        <v>3</v>
      </c>
      <c r="D122" s="56">
        <f>D121+Habitat!$C$16</f>
        <v>690</v>
      </c>
      <c r="E122" s="48">
        <f t="shared" si="49"/>
        <v>459</v>
      </c>
      <c r="F122" s="3">
        <f>Habitat!$D$13*D122</f>
        <v>19.32</v>
      </c>
      <c r="G122" s="3">
        <f t="shared" si="42"/>
        <v>0</v>
      </c>
      <c r="H122" s="3">
        <f t="shared" si="43"/>
        <v>0</v>
      </c>
      <c r="I122" s="3"/>
      <c r="J122" s="3"/>
      <c r="K122" s="3"/>
      <c r="L122" s="3">
        <f t="shared" si="45"/>
        <v>0</v>
      </c>
      <c r="M122">
        <f t="shared" si="51"/>
        <v>0</v>
      </c>
      <c r="N122" s="48">
        <f>IF(C122=1,M122*Habitat!$I$27,0)+IF(C122=2,M122*Habitat!$J$27,0)+IF(C122=3,M122*Habitat!$K$27,0)+IF(C122=4,M122*Habitat!$L$27,0)+IF(C122=5,M122*Habitat!$M$27,0)</f>
        <v>0</v>
      </c>
      <c r="O122" s="48">
        <f>IF(C122=1,M122*Habitat!$I$26,0)+IF(C122=2,M122*Habitat!$J$26,0)+IF(C122=3,M122*Habitat!$K$26,0)+IF(C122=4,M122*Habitat!$L$26,0)+IF(C122=5,M122*Habitat!$M$26,0)</f>
        <v>0</v>
      </c>
      <c r="P122" s="48">
        <f>IF(C122=1,M122*Habitat!$I$25,0)+IF(C122=2,M122*Habitat!$J$25,0)+IF(C122=3,M122*Habitat!$K$25,0)+IF(C122=4,M122*Habitat!$L$25,0)+IF(C122=5,M122*Habitat!$M$25,0)</f>
        <v>0</v>
      </c>
      <c r="Q122" s="48">
        <f>IF(C122=1,M122*Habitat!$I$28,0)+IF(C122=2,M122*Habitat!$J$28,0)+IF(C122=3,M122*Habitat!$K$28,0)+IF(C122=4,M122*Habitat!$L$28,0)+IF(C122=5,M122*Habitat!$M$28,0)</f>
        <v>0</v>
      </c>
      <c r="R122" s="48">
        <f>IF(C122=1,M122*Habitat!$I$29,0)+IF(C122=2,M122*Habitat!$J$29,0)+IF(C122=3,M122*Habitat!$K$29,0)+IF(C122=4,M122*Habitat!$L$29,0)+IF(C122=5,M122*Habitat!$M$29,0)</f>
        <v>0</v>
      </c>
      <c r="S122">
        <f>IF(C122=1,M122*Habitat!$I$30,0)+IF(C122=2,M122*Habitat!$J$30,0)+IF(C122=3,M122*Habitat!$K$30,0)+IF(C122=4,M122*Habitat!$L$30,0)+IF(C122=5,M122*Habitat!$M$30,0)</f>
        <v>0</v>
      </c>
    </row>
    <row r="123" spans="1:19">
      <c r="A123">
        <f t="shared" si="50"/>
        <v>113</v>
      </c>
      <c r="C123" s="5">
        <v>3</v>
      </c>
      <c r="D123" s="56">
        <f>D122+Habitat!$C$16</f>
        <v>695</v>
      </c>
      <c r="E123" s="48">
        <f t="shared" si="49"/>
        <v>464</v>
      </c>
      <c r="F123" s="3">
        <f>Habitat!$D$13*D123</f>
        <v>19.46</v>
      </c>
      <c r="G123" s="3">
        <f t="shared" si="42"/>
        <v>0</v>
      </c>
      <c r="H123" s="3">
        <f t="shared" si="43"/>
        <v>0</v>
      </c>
      <c r="I123" s="3"/>
      <c r="J123" s="3"/>
      <c r="K123" s="3"/>
      <c r="L123" s="3">
        <f t="shared" si="45"/>
        <v>0</v>
      </c>
      <c r="M123">
        <f t="shared" si="51"/>
        <v>0</v>
      </c>
      <c r="N123" s="48">
        <f>IF(C123=1,M123*Habitat!$I$27,0)+IF(C123=2,M123*Habitat!$J$27,0)+IF(C123=3,M123*Habitat!$K$27,0)+IF(C123=4,M123*Habitat!$L$27,0)+IF(C123=5,M123*Habitat!$M$27,0)</f>
        <v>0</v>
      </c>
      <c r="O123" s="48">
        <f>IF(C123=1,M123*Habitat!$I$26,0)+IF(C123=2,M123*Habitat!$J$26,0)+IF(C123=3,M123*Habitat!$K$26,0)+IF(C123=4,M123*Habitat!$L$26,0)+IF(C123=5,M123*Habitat!$M$26,0)</f>
        <v>0</v>
      </c>
      <c r="P123" s="48">
        <f>IF(C123=1,M123*Habitat!$I$25,0)+IF(C123=2,M123*Habitat!$J$25,0)+IF(C123=3,M123*Habitat!$K$25,0)+IF(C123=4,M123*Habitat!$L$25,0)+IF(C123=5,M123*Habitat!$M$25,0)</f>
        <v>0</v>
      </c>
      <c r="Q123" s="48">
        <f>IF(C123=1,M123*Habitat!$I$28,0)+IF(C123=2,M123*Habitat!$J$28,0)+IF(C123=3,M123*Habitat!$K$28,0)+IF(C123=4,M123*Habitat!$L$28,0)+IF(C123=5,M123*Habitat!$M$28,0)</f>
        <v>0</v>
      </c>
      <c r="R123" s="48">
        <f>IF(C123=1,M123*Habitat!$I$29,0)+IF(C123=2,M123*Habitat!$J$29,0)+IF(C123=3,M123*Habitat!$K$29,0)+IF(C123=4,M123*Habitat!$L$29,0)+IF(C123=5,M123*Habitat!$M$29,0)</f>
        <v>0</v>
      </c>
      <c r="S123">
        <f>IF(C123=1,M123*Habitat!$I$30,0)+IF(C123=2,M123*Habitat!$J$30,0)+IF(C123=3,M123*Habitat!$K$30,0)+IF(C123=4,M123*Habitat!$L$30,0)+IF(C123=5,M123*Habitat!$M$30,0)</f>
        <v>0</v>
      </c>
    </row>
    <row r="124" spans="1:19">
      <c r="A124">
        <f t="shared" si="50"/>
        <v>114</v>
      </c>
      <c r="C124" s="5">
        <v>3</v>
      </c>
      <c r="D124" s="56">
        <f>D123+Habitat!$C$16</f>
        <v>700</v>
      </c>
      <c r="E124" s="48">
        <f t="shared" si="49"/>
        <v>469</v>
      </c>
      <c r="F124" s="3">
        <f>Habitat!$D$13*D124</f>
        <v>19.600000000000001</v>
      </c>
      <c r="G124" s="3">
        <f t="shared" si="42"/>
        <v>0</v>
      </c>
      <c r="H124" s="3">
        <f t="shared" si="43"/>
        <v>0</v>
      </c>
      <c r="I124" s="3"/>
      <c r="J124" s="3"/>
      <c r="K124" s="3"/>
      <c r="L124" s="3">
        <f t="shared" si="45"/>
        <v>0</v>
      </c>
      <c r="M124">
        <f t="shared" si="51"/>
        <v>0</v>
      </c>
      <c r="N124" s="48">
        <f>IF(C124=1,M124*Habitat!$I$27,0)+IF(C124=2,M124*Habitat!$J$27,0)+IF(C124=3,M124*Habitat!$K$27,0)+IF(C124=4,M124*Habitat!$L$27,0)+IF(C124=5,M124*Habitat!$M$27,0)</f>
        <v>0</v>
      </c>
      <c r="O124" s="48">
        <f>IF(C124=1,M124*Habitat!$I$26,0)+IF(C124=2,M124*Habitat!$J$26,0)+IF(C124=3,M124*Habitat!$K$26,0)+IF(C124=4,M124*Habitat!$L$26,0)+IF(C124=5,M124*Habitat!$M$26,0)</f>
        <v>0</v>
      </c>
      <c r="P124" s="48">
        <f>IF(C124=1,M124*Habitat!$I$25,0)+IF(C124=2,M124*Habitat!$J$25,0)+IF(C124=3,M124*Habitat!$K$25,0)+IF(C124=4,M124*Habitat!$L$25,0)+IF(C124=5,M124*Habitat!$M$25,0)</f>
        <v>0</v>
      </c>
      <c r="Q124" s="48">
        <f>IF(C124=1,M124*Habitat!$I$28,0)+IF(C124=2,M124*Habitat!$J$28,0)+IF(C124=3,M124*Habitat!$K$28,0)+IF(C124=4,M124*Habitat!$L$28,0)+IF(C124=5,M124*Habitat!$M$28,0)</f>
        <v>0</v>
      </c>
      <c r="R124" s="48">
        <f>IF(C124=1,M124*Habitat!$I$29,0)+IF(C124=2,M124*Habitat!$J$29,0)+IF(C124=3,M124*Habitat!$K$29,0)+IF(C124=4,M124*Habitat!$L$29,0)+IF(C124=5,M124*Habitat!$M$29,0)</f>
        <v>0</v>
      </c>
      <c r="S124">
        <f>IF(C124=1,M124*Habitat!$I$30,0)+IF(C124=2,M124*Habitat!$J$30,0)+IF(C124=3,M124*Habitat!$K$30,0)+IF(C124=4,M124*Habitat!$L$30,0)+IF(C124=5,M124*Habitat!$M$30,0)</f>
        <v>0</v>
      </c>
    </row>
    <row r="125" spans="1:19">
      <c r="A125">
        <f t="shared" si="50"/>
        <v>115</v>
      </c>
      <c r="C125" s="5">
        <v>3</v>
      </c>
      <c r="D125" s="56">
        <f>D124+Habitat!$C$16</f>
        <v>705</v>
      </c>
      <c r="E125" s="48">
        <f t="shared" si="49"/>
        <v>474</v>
      </c>
      <c r="F125" s="3">
        <f>Habitat!$D$13*D125</f>
        <v>19.740000000000002</v>
      </c>
      <c r="G125" s="3">
        <f t="shared" si="42"/>
        <v>0</v>
      </c>
      <c r="H125" s="3">
        <f t="shared" si="43"/>
        <v>0</v>
      </c>
      <c r="I125" s="3"/>
      <c r="J125" s="3"/>
      <c r="K125" s="3"/>
      <c r="L125" s="3">
        <f t="shared" si="45"/>
        <v>0</v>
      </c>
      <c r="M125">
        <f t="shared" si="51"/>
        <v>0</v>
      </c>
      <c r="N125" s="48">
        <f>IF(C125=1,M125*Habitat!$I$27,0)+IF(C125=2,M125*Habitat!$J$27,0)+IF(C125=3,M125*Habitat!$K$27,0)+IF(C125=4,M125*Habitat!$L$27,0)+IF(C125=5,M125*Habitat!$M$27,0)</f>
        <v>0</v>
      </c>
      <c r="O125" s="48">
        <f>IF(C125=1,M125*Habitat!$I$26,0)+IF(C125=2,M125*Habitat!$J$26,0)+IF(C125=3,M125*Habitat!$K$26,0)+IF(C125=4,M125*Habitat!$L$26,0)+IF(C125=5,M125*Habitat!$M$26,0)</f>
        <v>0</v>
      </c>
      <c r="P125" s="48">
        <f>IF(C125=1,M125*Habitat!$I$25,0)+IF(C125=2,M125*Habitat!$J$25,0)+IF(C125=3,M125*Habitat!$K$25,0)+IF(C125=4,M125*Habitat!$L$25,0)+IF(C125=5,M125*Habitat!$M$25,0)</f>
        <v>0</v>
      </c>
      <c r="Q125" s="48">
        <f>IF(C125=1,M125*Habitat!$I$28,0)+IF(C125=2,M125*Habitat!$J$28,0)+IF(C125=3,M125*Habitat!$K$28,0)+IF(C125=4,M125*Habitat!$L$28,0)+IF(C125=5,M125*Habitat!$M$28,0)</f>
        <v>0</v>
      </c>
      <c r="R125" s="48">
        <f>IF(C125=1,M125*Habitat!$I$29,0)+IF(C125=2,M125*Habitat!$J$29,0)+IF(C125=3,M125*Habitat!$K$29,0)+IF(C125=4,M125*Habitat!$L$29,0)+IF(C125=5,M125*Habitat!$M$29,0)</f>
        <v>0</v>
      </c>
      <c r="S125">
        <f>IF(C125=1,M125*Habitat!$I$30,0)+IF(C125=2,M125*Habitat!$J$30,0)+IF(C125=3,M125*Habitat!$K$30,0)+IF(C125=4,M125*Habitat!$L$30,0)+IF(C125=5,M125*Habitat!$M$30,0)</f>
        <v>0</v>
      </c>
    </row>
    <row r="126" spans="1:19">
      <c r="A126">
        <f t="shared" si="50"/>
        <v>116</v>
      </c>
      <c r="C126" s="5">
        <v>3</v>
      </c>
      <c r="D126" s="56">
        <f>D125+Habitat!$C$16</f>
        <v>710</v>
      </c>
      <c r="E126" s="48">
        <f t="shared" si="49"/>
        <v>479</v>
      </c>
      <c r="F126" s="3">
        <f>Habitat!$D$13*D126</f>
        <v>19.88</v>
      </c>
      <c r="G126" s="3">
        <f t="shared" si="42"/>
        <v>0</v>
      </c>
      <c r="H126" s="3">
        <f t="shared" si="43"/>
        <v>0</v>
      </c>
      <c r="I126" s="3"/>
      <c r="J126" s="3"/>
      <c r="K126" s="3"/>
      <c r="L126" s="3">
        <f t="shared" si="45"/>
        <v>0</v>
      </c>
      <c r="M126">
        <f t="shared" si="51"/>
        <v>0</v>
      </c>
      <c r="N126" s="48">
        <f>IF(C126=1,M126*Habitat!$I$27,0)+IF(C126=2,M126*Habitat!$J$27,0)+IF(C126=3,M126*Habitat!$K$27,0)+IF(C126=4,M126*Habitat!$L$27,0)+IF(C126=5,M126*Habitat!$M$27,0)</f>
        <v>0</v>
      </c>
      <c r="O126" s="48">
        <f>IF(C126=1,M126*Habitat!$I$26,0)+IF(C126=2,M126*Habitat!$J$26,0)+IF(C126=3,M126*Habitat!$K$26,0)+IF(C126=4,M126*Habitat!$L$26,0)+IF(C126=5,M126*Habitat!$M$26,0)</f>
        <v>0</v>
      </c>
      <c r="P126" s="48">
        <f>IF(C126=1,M126*Habitat!$I$25,0)+IF(C126=2,M126*Habitat!$J$25,0)+IF(C126=3,M126*Habitat!$K$25,0)+IF(C126=4,M126*Habitat!$L$25,0)+IF(C126=5,M126*Habitat!$M$25,0)</f>
        <v>0</v>
      </c>
      <c r="Q126" s="48">
        <f>IF(C126=1,M126*Habitat!$I$28,0)+IF(C126=2,M126*Habitat!$J$28,0)+IF(C126=3,M126*Habitat!$K$28,0)+IF(C126=4,M126*Habitat!$L$28,0)+IF(C126=5,M126*Habitat!$M$28,0)</f>
        <v>0</v>
      </c>
      <c r="R126" s="48">
        <f>IF(C126=1,M126*Habitat!$I$29,0)+IF(C126=2,M126*Habitat!$J$29,0)+IF(C126=3,M126*Habitat!$K$29,0)+IF(C126=4,M126*Habitat!$L$29,0)+IF(C126=5,M126*Habitat!$M$29,0)</f>
        <v>0</v>
      </c>
      <c r="S126">
        <f>IF(C126=1,M126*Habitat!$I$30,0)+IF(C126=2,M126*Habitat!$J$30,0)+IF(C126=3,M126*Habitat!$K$30,0)+IF(C126=4,M126*Habitat!$L$30,0)+IF(C126=5,M126*Habitat!$M$30,0)</f>
        <v>0</v>
      </c>
    </row>
    <row r="127" spans="1:19">
      <c r="A127">
        <f t="shared" si="50"/>
        <v>117</v>
      </c>
      <c r="C127" s="5">
        <v>3</v>
      </c>
      <c r="D127" s="56">
        <f>D126+Habitat!$C$16</f>
        <v>715</v>
      </c>
      <c r="E127" s="48">
        <f t="shared" si="49"/>
        <v>484</v>
      </c>
      <c r="F127" s="3">
        <f>Habitat!$D$13*D127</f>
        <v>20.02</v>
      </c>
      <c r="G127" s="3">
        <f t="shared" si="42"/>
        <v>0</v>
      </c>
      <c r="H127" s="3">
        <f t="shared" si="43"/>
        <v>0</v>
      </c>
      <c r="I127" s="3"/>
      <c r="J127" s="3"/>
      <c r="K127" s="3"/>
      <c r="L127" s="3">
        <f t="shared" si="45"/>
        <v>0</v>
      </c>
      <c r="M127">
        <f t="shared" si="51"/>
        <v>0</v>
      </c>
      <c r="N127" s="48">
        <f>IF(C127=1,M127*Habitat!$I$27,0)+IF(C127=2,M127*Habitat!$J$27,0)+IF(C127=3,M127*Habitat!$K$27,0)+IF(C127=4,M127*Habitat!$L$27,0)+IF(C127=5,M127*Habitat!$M$27,0)</f>
        <v>0</v>
      </c>
      <c r="O127" s="48">
        <f>IF(C127=1,M127*Habitat!$I$26,0)+IF(C127=2,M127*Habitat!$J$26,0)+IF(C127=3,M127*Habitat!$K$26,0)+IF(C127=4,M127*Habitat!$L$26,0)+IF(C127=5,M127*Habitat!$M$26,0)</f>
        <v>0</v>
      </c>
      <c r="P127" s="48">
        <f>IF(C127=1,M127*Habitat!$I$25,0)+IF(C127=2,M127*Habitat!$J$25,0)+IF(C127=3,M127*Habitat!$K$25,0)+IF(C127=4,M127*Habitat!$L$25,0)+IF(C127=5,M127*Habitat!$M$25,0)</f>
        <v>0</v>
      </c>
      <c r="Q127" s="48">
        <f>IF(C127=1,M127*Habitat!$I$28,0)+IF(C127=2,M127*Habitat!$J$28,0)+IF(C127=3,M127*Habitat!$K$28,0)+IF(C127=4,M127*Habitat!$L$28,0)+IF(C127=5,M127*Habitat!$M$28,0)</f>
        <v>0</v>
      </c>
      <c r="R127" s="48">
        <f>IF(C127=1,M127*Habitat!$I$29,0)+IF(C127=2,M127*Habitat!$J$29,0)+IF(C127=3,M127*Habitat!$K$29,0)+IF(C127=4,M127*Habitat!$L$29,0)+IF(C127=5,M127*Habitat!$M$29,0)</f>
        <v>0</v>
      </c>
      <c r="S127">
        <f>IF(C127=1,M127*Habitat!$I$30,0)+IF(C127=2,M127*Habitat!$J$30,0)+IF(C127=3,M127*Habitat!$K$30,0)+IF(C127=4,M127*Habitat!$L$30,0)+IF(C127=5,M127*Habitat!$M$30,0)</f>
        <v>0</v>
      </c>
    </row>
    <row r="128" spans="1:19">
      <c r="A128">
        <f t="shared" si="50"/>
        <v>118</v>
      </c>
      <c r="C128" s="5">
        <v>3</v>
      </c>
      <c r="D128" s="56">
        <f>D127+Habitat!$C$16</f>
        <v>720</v>
      </c>
      <c r="E128" s="48">
        <f t="shared" si="49"/>
        <v>489</v>
      </c>
      <c r="F128" s="3">
        <f>Habitat!$D$13*D128</f>
        <v>20.16</v>
      </c>
      <c r="G128" s="3">
        <f t="shared" si="42"/>
        <v>0</v>
      </c>
      <c r="H128" s="3">
        <f t="shared" si="43"/>
        <v>0</v>
      </c>
      <c r="I128" s="3"/>
      <c r="J128" s="3"/>
      <c r="K128" s="3"/>
      <c r="L128" s="3">
        <f t="shared" si="45"/>
        <v>0</v>
      </c>
      <c r="M128">
        <f t="shared" si="51"/>
        <v>0</v>
      </c>
      <c r="N128" s="48">
        <f>IF(C128=1,M128*Habitat!$I$27,0)+IF(C128=2,M128*Habitat!$J$27,0)+IF(C128=3,M128*Habitat!$K$27,0)+IF(C128=4,M128*Habitat!$L$27,0)+IF(C128=5,M128*Habitat!$M$27,0)</f>
        <v>0</v>
      </c>
      <c r="O128" s="48">
        <f>IF(C128=1,M128*Habitat!$I$26,0)+IF(C128=2,M128*Habitat!$J$26,0)+IF(C128=3,M128*Habitat!$K$26,0)+IF(C128=4,M128*Habitat!$L$26,0)+IF(C128=5,M128*Habitat!$M$26,0)</f>
        <v>0</v>
      </c>
      <c r="P128" s="48">
        <f>IF(C128=1,M128*Habitat!$I$25,0)+IF(C128=2,M128*Habitat!$J$25,0)+IF(C128=3,M128*Habitat!$K$25,0)+IF(C128=4,M128*Habitat!$L$25,0)+IF(C128=5,M128*Habitat!$M$25,0)</f>
        <v>0</v>
      </c>
      <c r="Q128" s="48">
        <f>IF(C128=1,M128*Habitat!$I$28,0)+IF(C128=2,M128*Habitat!$J$28,0)+IF(C128=3,M128*Habitat!$K$28,0)+IF(C128=4,M128*Habitat!$L$28,0)+IF(C128=5,M128*Habitat!$M$28,0)</f>
        <v>0</v>
      </c>
      <c r="R128" s="48">
        <f>IF(C128=1,M128*Habitat!$I$29,0)+IF(C128=2,M128*Habitat!$J$29,0)+IF(C128=3,M128*Habitat!$K$29,0)+IF(C128=4,M128*Habitat!$L$29,0)+IF(C128=5,M128*Habitat!$M$29,0)</f>
        <v>0</v>
      </c>
      <c r="S128">
        <f>IF(C128=1,M128*Habitat!$I$30,0)+IF(C128=2,M128*Habitat!$J$30,0)+IF(C128=3,M128*Habitat!$K$30,0)+IF(C128=4,M128*Habitat!$L$30,0)+IF(C128=5,M128*Habitat!$M$30,0)</f>
        <v>0</v>
      </c>
    </row>
    <row r="129" spans="1:19">
      <c r="A129">
        <f t="shared" ref="A129:A137" si="52">A128+1</f>
        <v>119</v>
      </c>
      <c r="C129" s="5">
        <v>3</v>
      </c>
      <c r="D129" s="56">
        <f>D128+Habitat!$C$16</f>
        <v>725</v>
      </c>
      <c r="E129" s="48">
        <f t="shared" si="49"/>
        <v>494</v>
      </c>
      <c r="F129" s="3">
        <f>Habitat!$D$13*D129</f>
        <v>20.3</v>
      </c>
      <c r="G129" s="3">
        <f t="shared" si="42"/>
        <v>0</v>
      </c>
      <c r="H129" s="3">
        <f t="shared" si="43"/>
        <v>0</v>
      </c>
      <c r="I129" s="3"/>
      <c r="J129" s="3"/>
      <c r="K129" s="3"/>
      <c r="L129" s="3">
        <f t="shared" si="45"/>
        <v>0</v>
      </c>
      <c r="M129">
        <f t="shared" si="51"/>
        <v>0</v>
      </c>
      <c r="N129" s="48">
        <f>IF(C129=1,M129*Habitat!$I$27,0)+IF(C129=2,M129*Habitat!$J$27,0)+IF(C129=3,M129*Habitat!$K$27,0)+IF(C129=4,M129*Habitat!$L$27,0)+IF(C129=5,M129*Habitat!$M$27,0)</f>
        <v>0</v>
      </c>
      <c r="O129" s="48">
        <f>IF(C129=1,M129*Habitat!$I$26,0)+IF(C129=2,M129*Habitat!$J$26,0)+IF(C129=3,M129*Habitat!$K$26,0)+IF(C129=4,M129*Habitat!$L$26,0)+IF(C129=5,M129*Habitat!$M$26,0)</f>
        <v>0</v>
      </c>
      <c r="P129" s="48">
        <f>IF(C129=1,M129*Habitat!$I$25,0)+IF(C129=2,M129*Habitat!$J$25,0)+IF(C129=3,M129*Habitat!$K$25,0)+IF(C129=4,M129*Habitat!$L$25,0)+IF(C129=5,M129*Habitat!$M$25,0)</f>
        <v>0</v>
      </c>
      <c r="Q129" s="48">
        <f>IF(C129=1,M129*Habitat!$I$28,0)+IF(C129=2,M129*Habitat!$J$28,0)+IF(C129=3,M129*Habitat!$K$28,0)+IF(C129=4,M129*Habitat!$L$28,0)+IF(C129=5,M129*Habitat!$M$28,0)</f>
        <v>0</v>
      </c>
      <c r="R129" s="48">
        <f>IF(C129=1,M129*Habitat!$I$29,0)+IF(C129=2,M129*Habitat!$J$29,0)+IF(C129=3,M129*Habitat!$K$29,0)+IF(C129=4,M129*Habitat!$L$29,0)+IF(C129=5,M129*Habitat!$M$29,0)</f>
        <v>0</v>
      </c>
      <c r="S129">
        <f>IF(C129=1,M129*Habitat!$I$30,0)+IF(C129=2,M129*Habitat!$J$30,0)+IF(C129=3,M129*Habitat!$K$30,0)+IF(C129=4,M129*Habitat!$L$30,0)+IF(C129=5,M129*Habitat!$M$30,0)</f>
        <v>0</v>
      </c>
    </row>
    <row r="130" spans="1:19">
      <c r="A130">
        <f t="shared" si="52"/>
        <v>120</v>
      </c>
      <c r="C130" s="5">
        <v>3</v>
      </c>
      <c r="D130" s="56">
        <f>D129+Habitat!$C$16</f>
        <v>730</v>
      </c>
      <c r="E130" s="48">
        <f t="shared" si="49"/>
        <v>499</v>
      </c>
      <c r="F130" s="3">
        <f>Habitat!$D$13*D130</f>
        <v>20.440000000000001</v>
      </c>
      <c r="G130" s="3">
        <f t="shared" si="42"/>
        <v>0</v>
      </c>
      <c r="H130" s="3">
        <f t="shared" si="43"/>
        <v>0</v>
      </c>
      <c r="I130" s="3"/>
      <c r="J130" s="3"/>
      <c r="K130" s="3"/>
      <c r="L130" s="3">
        <f t="shared" si="45"/>
        <v>0</v>
      </c>
      <c r="M130">
        <f t="shared" si="51"/>
        <v>0</v>
      </c>
      <c r="N130" s="48">
        <f>IF(C130=1,M130*Habitat!$I$27,0)+IF(C130=2,M130*Habitat!$J$27,0)+IF(C130=3,M130*Habitat!$K$27,0)+IF(C130=4,M130*Habitat!$L$27,0)+IF(C130=5,M130*Habitat!$M$27,0)</f>
        <v>0</v>
      </c>
      <c r="O130" s="48">
        <f>IF(C130=1,M130*Habitat!$I$26,0)+IF(C130=2,M130*Habitat!$J$26,0)+IF(C130=3,M130*Habitat!$K$26,0)+IF(C130=4,M130*Habitat!$L$26,0)+IF(C130=5,M130*Habitat!$M$26,0)</f>
        <v>0</v>
      </c>
      <c r="P130" s="48">
        <f>IF(C130=1,M130*Habitat!$I$25,0)+IF(C130=2,M130*Habitat!$J$25,0)+IF(C130=3,M130*Habitat!$K$25,0)+IF(C130=4,M130*Habitat!$L$25,0)+IF(C130=5,M130*Habitat!$M$25,0)</f>
        <v>0</v>
      </c>
      <c r="Q130" s="48">
        <f>IF(C130=1,M130*Habitat!$I$28,0)+IF(C130=2,M130*Habitat!$J$28,0)+IF(C130=3,M130*Habitat!$K$28,0)+IF(C130=4,M130*Habitat!$L$28,0)+IF(C130=5,M130*Habitat!$M$28,0)</f>
        <v>0</v>
      </c>
      <c r="R130" s="48">
        <f>IF(C130=1,M130*Habitat!$I$29,0)+IF(C130=2,M130*Habitat!$J$29,0)+IF(C130=3,M130*Habitat!$K$29,0)+IF(C130=4,M130*Habitat!$L$29,0)+IF(C130=5,M130*Habitat!$M$29,0)</f>
        <v>0</v>
      </c>
      <c r="S130">
        <f>IF(C130=1,M130*Habitat!$I$30,0)+IF(C130=2,M130*Habitat!$J$30,0)+IF(C130=3,M130*Habitat!$K$30,0)+IF(C130=4,M130*Habitat!$L$30,0)+IF(C130=5,M130*Habitat!$M$30,0)</f>
        <v>0</v>
      </c>
    </row>
    <row r="131" spans="1:19">
      <c r="A131">
        <f t="shared" si="52"/>
        <v>121</v>
      </c>
      <c r="C131" s="5">
        <v>3</v>
      </c>
      <c r="D131" s="56">
        <f>D130+Habitat!$C$16</f>
        <v>735</v>
      </c>
      <c r="E131" s="48">
        <f t="shared" si="49"/>
        <v>504</v>
      </c>
      <c r="F131" s="3">
        <f>Habitat!$D$13*D131</f>
        <v>20.580000000000002</v>
      </c>
      <c r="G131" s="3">
        <f t="shared" si="42"/>
        <v>0</v>
      </c>
      <c r="H131" s="3">
        <f t="shared" si="43"/>
        <v>0</v>
      </c>
      <c r="I131" s="3"/>
      <c r="J131" s="3"/>
      <c r="K131" s="3"/>
      <c r="L131" s="3">
        <f t="shared" si="45"/>
        <v>0</v>
      </c>
      <c r="M131">
        <f t="shared" si="51"/>
        <v>0</v>
      </c>
      <c r="N131" s="48">
        <f>IF(C131=1,M131*Habitat!$I$27,0)+IF(C131=2,M131*Habitat!$J$27,0)+IF(C131=3,M131*Habitat!$K$27,0)+IF(C131=4,M131*Habitat!$L$27,0)+IF(C131=5,M131*Habitat!$M$27,0)</f>
        <v>0</v>
      </c>
      <c r="O131" s="48">
        <f>IF(C131=1,M131*Habitat!$I$26,0)+IF(C131=2,M131*Habitat!$J$26,0)+IF(C131=3,M131*Habitat!$K$26,0)+IF(C131=4,M131*Habitat!$L$26,0)+IF(C131=5,M131*Habitat!$M$26,0)</f>
        <v>0</v>
      </c>
      <c r="P131" s="48">
        <f>IF(C131=1,M131*Habitat!$I$25,0)+IF(C131=2,M131*Habitat!$J$25,0)+IF(C131=3,M131*Habitat!$K$25,0)+IF(C131=4,M131*Habitat!$L$25,0)+IF(C131=5,M131*Habitat!$M$25,0)</f>
        <v>0</v>
      </c>
      <c r="Q131" s="48">
        <f>IF(C131=1,M131*Habitat!$I$28,0)+IF(C131=2,M131*Habitat!$J$28,0)+IF(C131=3,M131*Habitat!$K$28,0)+IF(C131=4,M131*Habitat!$L$28,0)+IF(C131=5,M131*Habitat!$M$28,0)</f>
        <v>0</v>
      </c>
      <c r="R131" s="48">
        <f>IF(C131=1,M131*Habitat!$I$29,0)+IF(C131=2,M131*Habitat!$J$29,0)+IF(C131=3,M131*Habitat!$K$29,0)+IF(C131=4,M131*Habitat!$L$29,0)+IF(C131=5,M131*Habitat!$M$29,0)</f>
        <v>0</v>
      </c>
      <c r="S131">
        <f>IF(C131=1,M131*Habitat!$I$30,0)+IF(C131=2,M131*Habitat!$J$30,0)+IF(C131=3,M131*Habitat!$K$30,0)+IF(C131=4,M131*Habitat!$L$30,0)+IF(C131=5,M131*Habitat!$M$30,0)</f>
        <v>0</v>
      </c>
    </row>
    <row r="132" spans="1:19">
      <c r="A132">
        <f t="shared" si="52"/>
        <v>122</v>
      </c>
      <c r="C132" s="5">
        <v>3</v>
      </c>
      <c r="D132" s="56">
        <f>D131+Habitat!$C$16</f>
        <v>740</v>
      </c>
      <c r="E132" s="48">
        <f t="shared" si="49"/>
        <v>509</v>
      </c>
      <c r="F132" s="3">
        <f>Habitat!$D$13*D132</f>
        <v>20.72</v>
      </c>
      <c r="G132" s="3">
        <f t="shared" si="42"/>
        <v>0</v>
      </c>
      <c r="H132" s="3">
        <f t="shared" si="43"/>
        <v>0</v>
      </c>
      <c r="I132" s="3"/>
      <c r="J132" s="3"/>
      <c r="K132" s="3"/>
      <c r="L132" s="3">
        <f t="shared" si="45"/>
        <v>0</v>
      </c>
      <c r="M132">
        <f t="shared" si="51"/>
        <v>0</v>
      </c>
      <c r="N132" s="48">
        <f>IF(C132=1,M132*Habitat!$I$27,0)+IF(C132=2,M132*Habitat!$J$27,0)+IF(C132=3,M132*Habitat!$K$27,0)+IF(C132=4,M132*Habitat!$L$27,0)+IF(C132=5,M132*Habitat!$M$27,0)</f>
        <v>0</v>
      </c>
      <c r="O132" s="48">
        <f>IF(C132=1,M132*Habitat!$I$26,0)+IF(C132=2,M132*Habitat!$J$26,0)+IF(C132=3,M132*Habitat!$K$26,0)+IF(C132=4,M132*Habitat!$L$26,0)+IF(C132=5,M132*Habitat!$M$26,0)</f>
        <v>0</v>
      </c>
      <c r="P132" s="48">
        <f>IF(C132=1,M132*Habitat!$I$25,0)+IF(C132=2,M132*Habitat!$J$25,0)+IF(C132=3,M132*Habitat!$K$25,0)+IF(C132=4,M132*Habitat!$L$25,0)+IF(C132=5,M132*Habitat!$M$25,0)</f>
        <v>0</v>
      </c>
      <c r="Q132" s="48">
        <f>IF(C132=1,M132*Habitat!$I$28,0)+IF(C132=2,M132*Habitat!$J$28,0)+IF(C132=3,M132*Habitat!$K$28,0)+IF(C132=4,M132*Habitat!$L$28,0)+IF(C132=5,M132*Habitat!$M$28,0)</f>
        <v>0</v>
      </c>
      <c r="R132" s="48">
        <f>IF(C132=1,M132*Habitat!$I$29,0)+IF(C132=2,M132*Habitat!$J$29,0)+IF(C132=3,M132*Habitat!$K$29,0)+IF(C132=4,M132*Habitat!$L$29,0)+IF(C132=5,M132*Habitat!$M$29,0)</f>
        <v>0</v>
      </c>
      <c r="S132">
        <f>IF(C132=1,M132*Habitat!$I$30,0)+IF(C132=2,M132*Habitat!$J$30,0)+IF(C132=3,M132*Habitat!$K$30,0)+IF(C132=4,M132*Habitat!$L$30,0)+IF(C132=5,M132*Habitat!$M$30,0)</f>
        <v>0</v>
      </c>
    </row>
    <row r="133" spans="1:19">
      <c r="A133">
        <f t="shared" si="52"/>
        <v>123</v>
      </c>
      <c r="C133" s="5">
        <v>3</v>
      </c>
      <c r="D133" s="56">
        <f>D132+Habitat!$C$16</f>
        <v>745</v>
      </c>
      <c r="E133" s="48">
        <f t="shared" si="49"/>
        <v>514</v>
      </c>
      <c r="F133" s="3">
        <f>Habitat!$D$13*D133</f>
        <v>20.86</v>
      </c>
      <c r="G133" s="3">
        <f t="shared" si="42"/>
        <v>0</v>
      </c>
      <c r="H133" s="3">
        <f t="shared" si="43"/>
        <v>0</v>
      </c>
      <c r="I133" s="3"/>
      <c r="J133" s="3"/>
      <c r="K133" s="3"/>
      <c r="L133" s="3">
        <f t="shared" si="45"/>
        <v>0</v>
      </c>
      <c r="M133">
        <f t="shared" si="51"/>
        <v>0</v>
      </c>
      <c r="N133" s="48">
        <f>IF(C133=1,M133*Habitat!$I$27,0)+IF(C133=2,M133*Habitat!$J$27,0)+IF(C133=3,M133*Habitat!$K$27,0)+IF(C133=4,M133*Habitat!$L$27,0)+IF(C133=5,M133*Habitat!$M$27,0)</f>
        <v>0</v>
      </c>
      <c r="O133" s="48">
        <f>IF(C133=1,M133*Habitat!$I$26,0)+IF(C133=2,M133*Habitat!$J$26,0)+IF(C133=3,M133*Habitat!$K$26,0)+IF(C133=4,M133*Habitat!$L$26,0)+IF(C133=5,M133*Habitat!$M$26,0)</f>
        <v>0</v>
      </c>
      <c r="P133" s="48">
        <f>IF(C133=1,M133*Habitat!$I$25,0)+IF(C133=2,M133*Habitat!$J$25,0)+IF(C133=3,M133*Habitat!$K$25,0)+IF(C133=4,M133*Habitat!$L$25,0)+IF(C133=5,M133*Habitat!$M$25,0)</f>
        <v>0</v>
      </c>
      <c r="Q133" s="48">
        <f>IF(C133=1,M133*Habitat!$I$28,0)+IF(C133=2,M133*Habitat!$J$28,0)+IF(C133=3,M133*Habitat!$K$28,0)+IF(C133=4,M133*Habitat!$L$28,0)+IF(C133=5,M133*Habitat!$M$28,0)</f>
        <v>0</v>
      </c>
      <c r="R133" s="48">
        <f>IF(C133=1,M133*Habitat!$I$29,0)+IF(C133=2,M133*Habitat!$J$29,0)+IF(C133=3,M133*Habitat!$K$29,0)+IF(C133=4,M133*Habitat!$L$29,0)+IF(C133=5,M133*Habitat!$M$29,0)</f>
        <v>0</v>
      </c>
      <c r="S133">
        <f>IF(C133=1,M133*Habitat!$I$30,0)+IF(C133=2,M133*Habitat!$J$30,0)+IF(C133=3,M133*Habitat!$K$30,0)+IF(C133=4,M133*Habitat!$L$30,0)+IF(C133=5,M133*Habitat!$M$30,0)</f>
        <v>0</v>
      </c>
    </row>
    <row r="134" spans="1:19">
      <c r="A134">
        <f t="shared" si="52"/>
        <v>124</v>
      </c>
      <c r="C134" s="5">
        <v>3</v>
      </c>
      <c r="D134" s="56">
        <f>D133+Habitat!$C$16</f>
        <v>750</v>
      </c>
      <c r="E134" s="48">
        <f t="shared" si="49"/>
        <v>519</v>
      </c>
      <c r="F134" s="3">
        <f>Habitat!$D$13*D134</f>
        <v>21</v>
      </c>
      <c r="G134" s="3">
        <f t="shared" si="42"/>
        <v>0</v>
      </c>
      <c r="H134" s="3">
        <f t="shared" si="43"/>
        <v>0</v>
      </c>
      <c r="I134" s="3"/>
      <c r="J134" s="3"/>
      <c r="K134" s="3"/>
      <c r="L134" s="3">
        <f t="shared" si="45"/>
        <v>0</v>
      </c>
      <c r="M134">
        <f t="shared" si="51"/>
        <v>0</v>
      </c>
      <c r="N134" s="48">
        <f>IF(C134=1,M134*Habitat!$I$27,0)+IF(C134=2,M134*Habitat!$J$27,0)+IF(C134=3,M134*Habitat!$K$27,0)+IF(C134=4,M134*Habitat!$L$27,0)+IF(C134=5,M134*Habitat!$M$27,0)</f>
        <v>0</v>
      </c>
      <c r="O134" s="48">
        <f>IF(C134=1,M134*Habitat!$I$26,0)+IF(C134=2,M134*Habitat!$J$26,0)+IF(C134=3,M134*Habitat!$K$26,0)+IF(C134=4,M134*Habitat!$L$26,0)+IF(C134=5,M134*Habitat!$M$26,0)</f>
        <v>0</v>
      </c>
      <c r="P134" s="48">
        <f>IF(C134=1,M134*Habitat!$I$25,0)+IF(C134=2,M134*Habitat!$J$25,0)+IF(C134=3,M134*Habitat!$K$25,0)+IF(C134=4,M134*Habitat!$L$25,0)+IF(C134=5,M134*Habitat!$M$25,0)</f>
        <v>0</v>
      </c>
      <c r="Q134" s="48">
        <f>IF(C134=1,M134*Habitat!$I$28,0)+IF(C134=2,M134*Habitat!$J$28,0)+IF(C134=3,M134*Habitat!$K$28,0)+IF(C134=4,M134*Habitat!$L$28,0)+IF(C134=5,M134*Habitat!$M$28,0)</f>
        <v>0</v>
      </c>
      <c r="R134" s="48">
        <f>IF(C134=1,M134*Habitat!$I$29,0)+IF(C134=2,M134*Habitat!$J$29,0)+IF(C134=3,M134*Habitat!$K$29,0)+IF(C134=4,M134*Habitat!$L$29,0)+IF(C134=5,M134*Habitat!$M$29,0)</f>
        <v>0</v>
      </c>
      <c r="S134">
        <f>IF(C134=1,M134*Habitat!$I$30,0)+IF(C134=2,M134*Habitat!$J$30,0)+IF(C134=3,M134*Habitat!$K$30,0)+IF(C134=4,M134*Habitat!$L$30,0)+IF(C134=5,M134*Habitat!$M$30,0)</f>
        <v>0</v>
      </c>
    </row>
    <row r="135" spans="1:19">
      <c r="A135">
        <f t="shared" si="52"/>
        <v>125</v>
      </c>
      <c r="C135" s="5">
        <v>3</v>
      </c>
      <c r="D135" s="56">
        <f>D134+Habitat!$C$16</f>
        <v>755</v>
      </c>
      <c r="E135" s="48">
        <f t="shared" si="49"/>
        <v>524</v>
      </c>
      <c r="F135" s="3">
        <f>Habitat!$D$13*D135</f>
        <v>21.14</v>
      </c>
      <c r="G135" s="3">
        <f t="shared" si="42"/>
        <v>0</v>
      </c>
      <c r="H135" s="3">
        <f t="shared" si="43"/>
        <v>0</v>
      </c>
      <c r="I135" s="3"/>
      <c r="J135" s="3"/>
      <c r="K135" s="3"/>
      <c r="L135" s="3">
        <f t="shared" si="45"/>
        <v>0</v>
      </c>
      <c r="M135">
        <f t="shared" si="51"/>
        <v>0</v>
      </c>
      <c r="N135" s="48">
        <f>IF(C135=1,M135*Habitat!$I$27,0)+IF(C135=2,M135*Habitat!$J$27,0)+IF(C135=3,M135*Habitat!$K$27,0)+IF(C135=4,M135*Habitat!$L$27,0)+IF(C135=5,M135*Habitat!$M$27,0)</f>
        <v>0</v>
      </c>
      <c r="O135" s="48">
        <f>IF(C135=1,M135*Habitat!$I$26,0)+IF(C135=2,M135*Habitat!$J$26,0)+IF(C135=3,M135*Habitat!$K$26,0)+IF(C135=4,M135*Habitat!$L$26,0)+IF(C135=5,M135*Habitat!$M$26,0)</f>
        <v>0</v>
      </c>
      <c r="P135" s="48">
        <f>IF(C135=1,M135*Habitat!$I$25,0)+IF(C135=2,M135*Habitat!$J$25,0)+IF(C135=3,M135*Habitat!$K$25,0)+IF(C135=4,M135*Habitat!$L$25,0)+IF(C135=5,M135*Habitat!$M$25,0)</f>
        <v>0</v>
      </c>
      <c r="Q135" s="48">
        <f>IF(C135=1,M135*Habitat!$I$28,0)+IF(C135=2,M135*Habitat!$J$28,0)+IF(C135=3,M135*Habitat!$K$28,0)+IF(C135=4,M135*Habitat!$L$28,0)+IF(C135=5,M135*Habitat!$M$28,0)</f>
        <v>0</v>
      </c>
      <c r="R135" s="48">
        <f>IF(C135=1,M135*Habitat!$I$29,0)+IF(C135=2,M135*Habitat!$J$29,0)+IF(C135=3,M135*Habitat!$K$29,0)+IF(C135=4,M135*Habitat!$L$29,0)+IF(C135=5,M135*Habitat!$M$29,0)</f>
        <v>0</v>
      </c>
      <c r="S135">
        <f>IF(C135=1,M135*Habitat!$I$30,0)+IF(C135=2,M135*Habitat!$J$30,0)+IF(C135=3,M135*Habitat!$K$30,0)+IF(C135=4,M135*Habitat!$L$30,0)+IF(C135=5,M135*Habitat!$M$30,0)</f>
        <v>0</v>
      </c>
    </row>
    <row r="136" spans="1:19">
      <c r="A136">
        <f t="shared" si="52"/>
        <v>126</v>
      </c>
      <c r="C136" s="5">
        <v>3</v>
      </c>
      <c r="D136" s="56">
        <f>D135+Habitat!$C$16</f>
        <v>760</v>
      </c>
      <c r="E136" s="48">
        <f t="shared" si="49"/>
        <v>529</v>
      </c>
      <c r="F136" s="3">
        <f>Habitat!$D$13*D136</f>
        <v>21.28</v>
      </c>
      <c r="G136" s="3">
        <f t="shared" si="42"/>
        <v>0</v>
      </c>
      <c r="H136" s="3">
        <f t="shared" si="43"/>
        <v>0</v>
      </c>
      <c r="I136" s="3"/>
      <c r="J136" s="3"/>
      <c r="K136" s="3"/>
      <c r="L136" s="3">
        <f t="shared" si="45"/>
        <v>0</v>
      </c>
      <c r="M136">
        <f t="shared" si="51"/>
        <v>0</v>
      </c>
      <c r="N136" s="48">
        <f>IF(C136=1,M136*Habitat!$I$27,0)+IF(C136=2,M136*Habitat!$J$27,0)+IF(C136=3,M136*Habitat!$K$27,0)+IF(C136=4,M136*Habitat!$L$27,0)+IF(C136=5,M136*Habitat!$M$27,0)</f>
        <v>0</v>
      </c>
      <c r="O136" s="48">
        <f>IF(C136=1,M136*Habitat!$I$26,0)+IF(C136=2,M136*Habitat!$J$26,0)+IF(C136=3,M136*Habitat!$K$26,0)+IF(C136=4,M136*Habitat!$L$26,0)+IF(C136=5,M136*Habitat!$M$26,0)</f>
        <v>0</v>
      </c>
      <c r="P136" s="48">
        <f>IF(C136=1,M136*Habitat!$I$25,0)+IF(C136=2,M136*Habitat!$J$25,0)+IF(C136=3,M136*Habitat!$K$25,0)+IF(C136=4,M136*Habitat!$L$25,0)+IF(C136=5,M136*Habitat!$M$25,0)</f>
        <v>0</v>
      </c>
      <c r="Q136" s="48">
        <f>IF(C136=1,M136*Habitat!$I$28,0)+IF(C136=2,M136*Habitat!$J$28,0)+IF(C136=3,M136*Habitat!$K$28,0)+IF(C136=4,M136*Habitat!$L$28,0)+IF(C136=5,M136*Habitat!$M$28,0)</f>
        <v>0</v>
      </c>
      <c r="R136" s="48">
        <f>IF(C136=1,M136*Habitat!$I$29,0)+IF(C136=2,M136*Habitat!$J$29,0)+IF(C136=3,M136*Habitat!$K$29,0)+IF(C136=4,M136*Habitat!$L$29,0)+IF(C136=5,M136*Habitat!$M$29,0)</f>
        <v>0</v>
      </c>
      <c r="S136">
        <f>IF(C136=1,M136*Habitat!$I$30,0)+IF(C136=2,M136*Habitat!$J$30,0)+IF(C136=3,M136*Habitat!$K$30,0)+IF(C136=4,M136*Habitat!$L$30,0)+IF(C136=5,M136*Habitat!$M$30,0)</f>
        <v>0</v>
      </c>
    </row>
    <row r="137" spans="1:19">
      <c r="A137">
        <f t="shared" si="52"/>
        <v>127</v>
      </c>
      <c r="C137" s="5">
        <v>3</v>
      </c>
      <c r="D137" s="56">
        <f>D136+Habitat!$C$16</f>
        <v>765</v>
      </c>
      <c r="E137" s="48">
        <f t="shared" si="49"/>
        <v>534</v>
      </c>
      <c r="F137" s="3">
        <f>Habitat!$D$13*D137</f>
        <v>21.42</v>
      </c>
      <c r="G137" s="3">
        <f t="shared" si="42"/>
        <v>0</v>
      </c>
      <c r="H137" s="3">
        <f t="shared" si="43"/>
        <v>0</v>
      </c>
      <c r="I137" s="3"/>
      <c r="J137" s="3"/>
      <c r="K137" s="3"/>
      <c r="L137" s="3">
        <f t="shared" si="45"/>
        <v>0</v>
      </c>
      <c r="M137">
        <f t="shared" si="51"/>
        <v>0</v>
      </c>
      <c r="N137" s="48">
        <f>IF(C137=1,M137*Habitat!$I$27,0)+IF(C137=2,M137*Habitat!$J$27,0)+IF(C137=3,M137*Habitat!$K$27,0)+IF(C137=4,M137*Habitat!$L$27,0)+IF(C137=5,M137*Habitat!$M$27,0)</f>
        <v>0</v>
      </c>
      <c r="O137" s="48">
        <f>IF(C137=1,M137*Habitat!$I$26,0)+IF(C137=2,M137*Habitat!$J$26,0)+IF(C137=3,M137*Habitat!$K$26,0)+IF(C137=4,M137*Habitat!$L$26,0)+IF(C137=5,M137*Habitat!$M$26,0)</f>
        <v>0</v>
      </c>
      <c r="P137" s="48">
        <f>IF(C137=1,M137*Habitat!$I$25,0)+IF(C137=2,M137*Habitat!$J$25,0)+IF(C137=3,M137*Habitat!$K$25,0)+IF(C137=4,M137*Habitat!$L$25,0)+IF(C137=5,M137*Habitat!$M$25,0)</f>
        <v>0</v>
      </c>
      <c r="Q137" s="48">
        <f>IF(C137=1,M137*Habitat!$I$28,0)+IF(C137=2,M137*Habitat!$J$28,0)+IF(C137=3,M137*Habitat!$K$28,0)+IF(C137=4,M137*Habitat!$L$28,0)+IF(C137=5,M137*Habitat!$M$28,0)</f>
        <v>0</v>
      </c>
      <c r="R137" s="48">
        <f>IF(C137=1,M137*Habitat!$I$29,0)+IF(C137=2,M137*Habitat!$J$29,0)+IF(C137=3,M137*Habitat!$K$29,0)+IF(C137=4,M137*Habitat!$L$29,0)+IF(C137=5,M137*Habitat!$M$29,0)</f>
        <v>0</v>
      </c>
      <c r="S137">
        <f>IF(C137=1,M137*Habitat!$I$30,0)+IF(C137=2,M137*Habitat!$J$30,0)+IF(C137=3,M137*Habitat!$K$30,0)+IF(C137=4,M137*Habitat!$L$30,0)+IF(C137=5,M137*Habitat!$M$30,0)</f>
        <v>0</v>
      </c>
    </row>
    <row r="138" spans="1:19">
      <c r="A138">
        <f t="shared" ref="A138:A145" si="53">A137+1</f>
        <v>128</v>
      </c>
      <c r="C138" s="5">
        <v>3</v>
      </c>
      <c r="D138" s="56">
        <f>D137+Habitat!$C$16</f>
        <v>770</v>
      </c>
      <c r="E138" s="48">
        <f t="shared" si="49"/>
        <v>539</v>
      </c>
      <c r="F138" s="3">
        <f>Habitat!$D$13*D138</f>
        <v>21.56</v>
      </c>
      <c r="G138" s="3">
        <f t="shared" si="42"/>
        <v>0</v>
      </c>
      <c r="H138" s="3">
        <f t="shared" si="43"/>
        <v>0</v>
      </c>
      <c r="I138" s="3"/>
      <c r="J138" s="3"/>
      <c r="K138" s="3"/>
      <c r="L138" s="3">
        <f t="shared" si="45"/>
        <v>0</v>
      </c>
      <c r="M138">
        <f t="shared" si="51"/>
        <v>0</v>
      </c>
      <c r="N138" s="48">
        <f>IF(C138=1,M138*Habitat!$I$27,0)+IF(C138=2,M138*Habitat!$J$27,0)+IF(C138=3,M138*Habitat!$K$27,0)+IF(C138=4,M138*Habitat!$L$27,0)+IF(C138=5,M138*Habitat!$M$27,0)</f>
        <v>0</v>
      </c>
      <c r="O138" s="48">
        <f>IF(C138=1,M138*Habitat!$I$26,0)+IF(C138=2,M138*Habitat!$J$26,0)+IF(C138=3,M138*Habitat!$K$26,0)+IF(C138=4,M138*Habitat!$L$26,0)+IF(C138=5,M138*Habitat!$M$26,0)</f>
        <v>0</v>
      </c>
      <c r="P138" s="48">
        <f>IF(C138=1,M138*Habitat!$I$25,0)+IF(C138=2,M138*Habitat!$J$25,0)+IF(C138=3,M138*Habitat!$K$25,0)+IF(C138=4,M138*Habitat!$L$25,0)+IF(C138=5,M138*Habitat!$M$25,0)</f>
        <v>0</v>
      </c>
      <c r="Q138" s="48">
        <f>IF(C138=1,M138*Habitat!$I$28,0)+IF(C138=2,M138*Habitat!$J$28,0)+IF(C138=3,M138*Habitat!$K$28,0)+IF(C138=4,M138*Habitat!$L$28,0)+IF(C138=5,M138*Habitat!$M$28,0)</f>
        <v>0</v>
      </c>
      <c r="R138" s="48">
        <f>IF(C138=1,M138*Habitat!$I$29,0)+IF(C138=2,M138*Habitat!$J$29,0)+IF(C138=3,M138*Habitat!$K$29,0)+IF(C138=4,M138*Habitat!$L$29,0)+IF(C138=5,M138*Habitat!$M$29,0)</f>
        <v>0</v>
      </c>
      <c r="S138">
        <f>IF(C138=1,M138*Habitat!$I$30,0)+IF(C138=2,M138*Habitat!$J$30,0)+IF(C138=3,M138*Habitat!$K$30,0)+IF(C138=4,M138*Habitat!$L$30,0)+IF(C138=5,M138*Habitat!$M$30,0)</f>
        <v>0</v>
      </c>
    </row>
    <row r="139" spans="1:19">
      <c r="A139">
        <f t="shared" si="53"/>
        <v>129</v>
      </c>
      <c r="C139" s="5">
        <v>3</v>
      </c>
      <c r="D139" s="56">
        <f>D138+Habitat!$C$16</f>
        <v>775</v>
      </c>
      <c r="E139" s="48">
        <f t="shared" si="49"/>
        <v>544</v>
      </c>
      <c r="F139" s="3">
        <f>Habitat!$D$13*D139</f>
        <v>21.7</v>
      </c>
      <c r="G139" s="3">
        <f t="shared" ref="G139:G162" si="54">IF(H139&gt;0,F139/9.8,0)</f>
        <v>0</v>
      </c>
      <c r="H139" s="3">
        <f t="shared" ref="H139:H202" si="55">IF(E139&lt;=$C$5,SQRT($C$5^2-E139^2),0)</f>
        <v>0</v>
      </c>
      <c r="I139" s="3"/>
      <c r="J139" s="3"/>
      <c r="K139" s="3"/>
      <c r="L139" s="3">
        <f t="shared" ref="L139:L162" si="56">IF(H139&gt;0,1,0)</f>
        <v>0</v>
      </c>
      <c r="M139">
        <f t="shared" si="51"/>
        <v>0</v>
      </c>
      <c r="N139" s="48">
        <f>IF(C139=1,M139*Habitat!$I$27,0)+IF(C139=2,M139*Habitat!$J$27,0)+IF(C139=3,M139*Habitat!$K$27,0)+IF(C139=4,M139*Habitat!$L$27,0)+IF(C139=5,M139*Habitat!$M$27,0)</f>
        <v>0</v>
      </c>
      <c r="O139" s="48">
        <f>IF(C139=1,M139*Habitat!$I$26,0)+IF(C139=2,M139*Habitat!$J$26,0)+IF(C139=3,M139*Habitat!$K$26,0)+IF(C139=4,M139*Habitat!$L$26,0)+IF(C139=5,M139*Habitat!$M$26,0)</f>
        <v>0</v>
      </c>
      <c r="P139" s="48">
        <f>IF(C139=1,M139*Habitat!$I$25,0)+IF(C139=2,M139*Habitat!$J$25,0)+IF(C139=3,M139*Habitat!$K$25,0)+IF(C139=4,M139*Habitat!$L$25,0)+IF(C139=5,M139*Habitat!$M$25,0)</f>
        <v>0</v>
      </c>
      <c r="Q139" s="48">
        <f>IF(C139=1,M139*Habitat!$I$28,0)+IF(C139=2,M139*Habitat!$J$28,0)+IF(C139=3,M139*Habitat!$K$28,0)+IF(C139=4,M139*Habitat!$L$28,0)+IF(C139=5,M139*Habitat!$M$28,0)</f>
        <v>0</v>
      </c>
      <c r="R139" s="48">
        <f>IF(C139=1,M139*Habitat!$I$29,0)+IF(C139=2,M139*Habitat!$J$29,0)+IF(C139=3,M139*Habitat!$K$29,0)+IF(C139=4,M139*Habitat!$L$29,0)+IF(C139=5,M139*Habitat!$M$29,0)</f>
        <v>0</v>
      </c>
      <c r="S139">
        <f>IF(C139=1,M139*Habitat!$I$30,0)+IF(C139=2,M139*Habitat!$J$30,0)+IF(C139=3,M139*Habitat!$K$30,0)+IF(C139=4,M139*Habitat!$L$30,0)+IF(C139=5,M139*Habitat!$M$30,0)</f>
        <v>0</v>
      </c>
    </row>
    <row r="140" spans="1:19">
      <c r="A140">
        <f t="shared" si="53"/>
        <v>130</v>
      </c>
      <c r="C140" s="5">
        <v>3</v>
      </c>
      <c r="D140" s="56">
        <f>D139+Habitat!$C$16</f>
        <v>780</v>
      </c>
      <c r="E140" s="48">
        <f t="shared" si="49"/>
        <v>549</v>
      </c>
      <c r="F140" s="3">
        <f>Habitat!$D$13*D140</f>
        <v>21.84</v>
      </c>
      <c r="G140" s="3">
        <f t="shared" si="54"/>
        <v>0</v>
      </c>
      <c r="H140" s="3">
        <f t="shared" si="55"/>
        <v>0</v>
      </c>
      <c r="I140" s="3"/>
      <c r="J140" s="3"/>
      <c r="K140" s="3"/>
      <c r="L140" s="3">
        <f t="shared" si="56"/>
        <v>0</v>
      </c>
      <c r="M140">
        <f t="shared" si="51"/>
        <v>0</v>
      </c>
      <c r="N140" s="48">
        <f>IF(C140=1,M140*Habitat!$I$27,0)+IF(C140=2,M140*Habitat!$J$27,0)+IF(C140=3,M140*Habitat!$K$27,0)+IF(C140=4,M140*Habitat!$L$27,0)+IF(C140=5,M140*Habitat!$M$27,0)</f>
        <v>0</v>
      </c>
      <c r="O140" s="48">
        <f>IF(C140=1,M140*Habitat!$I$26,0)+IF(C140=2,M140*Habitat!$J$26,0)+IF(C140=3,M140*Habitat!$K$26,0)+IF(C140=4,M140*Habitat!$L$26,0)+IF(C140=5,M140*Habitat!$M$26,0)</f>
        <v>0</v>
      </c>
      <c r="P140" s="48">
        <f>IF(C140=1,M140*Habitat!$I$25,0)+IF(C140=2,M140*Habitat!$J$25,0)+IF(C140=3,M140*Habitat!$K$25,0)+IF(C140=4,M140*Habitat!$L$25,0)+IF(C140=5,M140*Habitat!$M$25,0)</f>
        <v>0</v>
      </c>
      <c r="Q140" s="48">
        <f>IF(C140=1,M140*Habitat!$I$28,0)+IF(C140=2,M140*Habitat!$J$28,0)+IF(C140=3,M140*Habitat!$K$28,0)+IF(C140=4,M140*Habitat!$L$28,0)+IF(C140=5,M140*Habitat!$M$28,0)</f>
        <v>0</v>
      </c>
      <c r="R140" s="48">
        <f>IF(C140=1,M140*Habitat!$I$29,0)+IF(C140=2,M140*Habitat!$J$29,0)+IF(C140=3,M140*Habitat!$K$29,0)+IF(C140=4,M140*Habitat!$L$29,0)+IF(C140=5,M140*Habitat!$M$29,0)</f>
        <v>0</v>
      </c>
      <c r="S140">
        <f>IF(C140=1,M140*Habitat!$I$30,0)+IF(C140=2,M140*Habitat!$J$30,0)+IF(C140=3,M140*Habitat!$K$30,0)+IF(C140=4,M140*Habitat!$L$30,0)+IF(C140=5,M140*Habitat!$M$30,0)</f>
        <v>0</v>
      </c>
    </row>
    <row r="141" spans="1:19">
      <c r="A141">
        <f t="shared" si="53"/>
        <v>131</v>
      </c>
      <c r="C141" s="5">
        <v>3</v>
      </c>
      <c r="D141" s="56">
        <f>D140+Habitat!$C$16</f>
        <v>785</v>
      </c>
      <c r="E141" s="48">
        <f t="shared" si="49"/>
        <v>554</v>
      </c>
      <c r="F141" s="3">
        <f>Habitat!$D$13*D141</f>
        <v>21.98</v>
      </c>
      <c r="G141" s="3">
        <f t="shared" si="54"/>
        <v>0</v>
      </c>
      <c r="H141" s="3">
        <f t="shared" si="55"/>
        <v>0</v>
      </c>
      <c r="I141" s="3"/>
      <c r="J141" s="3"/>
      <c r="K141" s="3"/>
      <c r="L141" s="3">
        <f t="shared" si="56"/>
        <v>0</v>
      </c>
      <c r="M141">
        <f t="shared" si="51"/>
        <v>0</v>
      </c>
      <c r="N141" s="48">
        <f>IF(C141=1,M141*Habitat!$I$27,0)+IF(C141=2,M141*Habitat!$J$27,0)+IF(C141=3,M141*Habitat!$K$27,0)+IF(C141=4,M141*Habitat!$L$27,0)+IF(C141=5,M141*Habitat!$M$27,0)</f>
        <v>0</v>
      </c>
      <c r="O141" s="48">
        <f>IF(C141=1,M141*Habitat!$I$26,0)+IF(C141=2,M141*Habitat!$J$26,0)+IF(C141=3,M141*Habitat!$K$26,0)+IF(C141=4,M141*Habitat!$L$26,0)+IF(C141=5,M141*Habitat!$M$26,0)</f>
        <v>0</v>
      </c>
      <c r="P141" s="48">
        <f>IF(C141=1,M141*Habitat!$I$25,0)+IF(C141=2,M141*Habitat!$J$25,0)+IF(C141=3,M141*Habitat!$K$25,0)+IF(C141=4,M141*Habitat!$L$25,0)+IF(C141=5,M141*Habitat!$M$25,0)</f>
        <v>0</v>
      </c>
      <c r="Q141" s="48">
        <f>IF(C141=1,M141*Habitat!$I$28,0)+IF(C141=2,M141*Habitat!$J$28,0)+IF(C141=3,M141*Habitat!$K$28,0)+IF(C141=4,M141*Habitat!$L$28,0)+IF(C141=5,M141*Habitat!$M$28,0)</f>
        <v>0</v>
      </c>
      <c r="R141" s="48">
        <f>IF(C141=1,M141*Habitat!$I$29,0)+IF(C141=2,M141*Habitat!$J$29,0)+IF(C141=3,M141*Habitat!$K$29,0)+IF(C141=4,M141*Habitat!$L$29,0)+IF(C141=5,M141*Habitat!$M$29,0)</f>
        <v>0</v>
      </c>
      <c r="S141">
        <f>IF(C141=1,M141*Habitat!$I$30,0)+IF(C141=2,M141*Habitat!$J$30,0)+IF(C141=3,M141*Habitat!$K$30,0)+IF(C141=4,M141*Habitat!$L$30,0)+IF(C141=5,M141*Habitat!$M$30,0)</f>
        <v>0</v>
      </c>
    </row>
    <row r="142" spans="1:19">
      <c r="A142">
        <f t="shared" si="53"/>
        <v>132</v>
      </c>
      <c r="C142" s="5">
        <v>3</v>
      </c>
      <c r="D142" s="56">
        <f>D141+Habitat!$C$16</f>
        <v>790</v>
      </c>
      <c r="E142" s="48">
        <f t="shared" si="49"/>
        <v>559</v>
      </c>
      <c r="F142" s="3">
        <f>Habitat!$D$13*D142</f>
        <v>22.12</v>
      </c>
      <c r="G142" s="3">
        <f t="shared" si="54"/>
        <v>0</v>
      </c>
      <c r="H142" s="3">
        <f t="shared" si="55"/>
        <v>0</v>
      </c>
      <c r="I142" s="3"/>
      <c r="J142" s="3"/>
      <c r="K142" s="3"/>
      <c r="L142" s="3">
        <f t="shared" si="56"/>
        <v>0</v>
      </c>
      <c r="M142">
        <f t="shared" si="51"/>
        <v>0</v>
      </c>
      <c r="N142" s="48">
        <f>IF(C142=1,M142*Habitat!$I$27,0)+IF(C142=2,M142*Habitat!$J$27,0)+IF(C142=3,M142*Habitat!$K$27,0)+IF(C142=4,M142*Habitat!$L$27,0)+IF(C142=5,M142*Habitat!$M$27,0)</f>
        <v>0</v>
      </c>
      <c r="O142" s="48">
        <f>IF(C142=1,M142*Habitat!$I$26,0)+IF(C142=2,M142*Habitat!$J$26,0)+IF(C142=3,M142*Habitat!$K$26,0)+IF(C142=4,M142*Habitat!$L$26,0)+IF(C142=5,M142*Habitat!$M$26,0)</f>
        <v>0</v>
      </c>
      <c r="P142" s="48">
        <f>IF(C142=1,M142*Habitat!$I$25,0)+IF(C142=2,M142*Habitat!$J$25,0)+IF(C142=3,M142*Habitat!$K$25,0)+IF(C142=4,M142*Habitat!$L$25,0)+IF(C142=5,M142*Habitat!$M$25,0)</f>
        <v>0</v>
      </c>
      <c r="Q142" s="48">
        <f>IF(C142=1,M142*Habitat!$I$28,0)+IF(C142=2,M142*Habitat!$J$28,0)+IF(C142=3,M142*Habitat!$K$28,0)+IF(C142=4,M142*Habitat!$L$28,0)+IF(C142=5,M142*Habitat!$M$28,0)</f>
        <v>0</v>
      </c>
      <c r="R142" s="48">
        <f>IF(C142=1,M142*Habitat!$I$29,0)+IF(C142=2,M142*Habitat!$J$29,0)+IF(C142=3,M142*Habitat!$K$29,0)+IF(C142=4,M142*Habitat!$L$29,0)+IF(C142=5,M142*Habitat!$M$29,0)</f>
        <v>0</v>
      </c>
      <c r="S142">
        <f>IF(C142=1,M142*Habitat!$I$30,0)+IF(C142=2,M142*Habitat!$J$30,0)+IF(C142=3,M142*Habitat!$K$30,0)+IF(C142=4,M142*Habitat!$L$30,0)+IF(C142=5,M142*Habitat!$M$30,0)</f>
        <v>0</v>
      </c>
    </row>
    <row r="143" spans="1:19">
      <c r="A143">
        <f t="shared" si="53"/>
        <v>133</v>
      </c>
      <c r="C143" s="5">
        <v>3</v>
      </c>
      <c r="D143" s="56">
        <f>D142+Habitat!$C$16</f>
        <v>795</v>
      </c>
      <c r="E143" s="48">
        <f t="shared" si="49"/>
        <v>564</v>
      </c>
      <c r="F143" s="3">
        <f>Habitat!$D$13*D143</f>
        <v>22.26</v>
      </c>
      <c r="G143" s="3">
        <f t="shared" si="54"/>
        <v>0</v>
      </c>
      <c r="H143" s="3">
        <f t="shared" si="55"/>
        <v>0</v>
      </c>
      <c r="I143" s="3"/>
      <c r="J143" s="3"/>
      <c r="K143" s="3"/>
      <c r="L143" s="3">
        <f t="shared" si="56"/>
        <v>0</v>
      </c>
      <c r="M143">
        <f t="shared" si="51"/>
        <v>0</v>
      </c>
      <c r="N143" s="48">
        <f>IF(C143=1,M143*Habitat!$I$27,0)+IF(C143=2,M143*Habitat!$J$27,0)+IF(C143=3,M143*Habitat!$K$27,0)+IF(C143=4,M143*Habitat!$L$27,0)+IF(C143=5,M143*Habitat!$M$27,0)</f>
        <v>0</v>
      </c>
      <c r="O143" s="48">
        <f>IF(C143=1,M143*Habitat!$I$26,0)+IF(C143=2,M143*Habitat!$J$26,0)+IF(C143=3,M143*Habitat!$K$26,0)+IF(C143=4,M143*Habitat!$L$26,0)+IF(C143=5,M143*Habitat!$M$26,0)</f>
        <v>0</v>
      </c>
      <c r="P143" s="48">
        <f>IF(C143=1,M143*Habitat!$I$25,0)+IF(C143=2,M143*Habitat!$J$25,0)+IF(C143=3,M143*Habitat!$K$25,0)+IF(C143=4,M143*Habitat!$L$25,0)+IF(C143=5,M143*Habitat!$M$25,0)</f>
        <v>0</v>
      </c>
      <c r="Q143" s="48">
        <f>IF(C143=1,M143*Habitat!$I$28,0)+IF(C143=2,M143*Habitat!$J$28,0)+IF(C143=3,M143*Habitat!$K$28,0)+IF(C143=4,M143*Habitat!$L$28,0)+IF(C143=5,M143*Habitat!$M$28,0)</f>
        <v>0</v>
      </c>
      <c r="R143" s="48">
        <f>IF(C143=1,M143*Habitat!$I$29,0)+IF(C143=2,M143*Habitat!$J$29,0)+IF(C143=3,M143*Habitat!$K$29,0)+IF(C143=4,M143*Habitat!$L$29,0)+IF(C143=5,M143*Habitat!$M$29,0)</f>
        <v>0</v>
      </c>
      <c r="S143">
        <f>IF(C143=1,M143*Habitat!$I$30,0)+IF(C143=2,M143*Habitat!$J$30,0)+IF(C143=3,M143*Habitat!$K$30,0)+IF(C143=4,M143*Habitat!$L$30,0)+IF(C143=5,M143*Habitat!$M$30,0)</f>
        <v>0</v>
      </c>
    </row>
    <row r="144" spans="1:19">
      <c r="A144">
        <f t="shared" si="53"/>
        <v>134</v>
      </c>
      <c r="C144" s="5">
        <v>3</v>
      </c>
      <c r="D144" s="56">
        <f>D143+Habitat!$C$16</f>
        <v>800</v>
      </c>
      <c r="E144" s="48">
        <f t="shared" si="49"/>
        <v>569</v>
      </c>
      <c r="F144" s="3">
        <f>Habitat!$D$13*D144</f>
        <v>22.400000000000002</v>
      </c>
      <c r="G144" s="3">
        <f t="shared" si="54"/>
        <v>0</v>
      </c>
      <c r="H144" s="3">
        <f t="shared" si="55"/>
        <v>0</v>
      </c>
      <c r="I144" s="3"/>
      <c r="J144" s="3"/>
      <c r="K144" s="3"/>
      <c r="L144" s="3">
        <f t="shared" si="56"/>
        <v>0</v>
      </c>
      <c r="M144">
        <f t="shared" si="51"/>
        <v>0</v>
      </c>
      <c r="N144" s="48">
        <f>IF(C144=1,M144*Habitat!$I$27,0)+IF(C144=2,M144*Habitat!$J$27,0)+IF(C144=3,M144*Habitat!$K$27,0)+IF(C144=4,M144*Habitat!$L$27,0)+IF(C144=5,M144*Habitat!$M$27,0)</f>
        <v>0</v>
      </c>
      <c r="O144" s="48">
        <f>IF(C144=1,M144*Habitat!$I$26,0)+IF(C144=2,M144*Habitat!$J$26,0)+IF(C144=3,M144*Habitat!$K$26,0)+IF(C144=4,M144*Habitat!$L$26,0)+IF(C144=5,M144*Habitat!$M$26,0)</f>
        <v>0</v>
      </c>
      <c r="P144" s="48">
        <f>IF(C144=1,M144*Habitat!$I$25,0)+IF(C144=2,M144*Habitat!$J$25,0)+IF(C144=3,M144*Habitat!$K$25,0)+IF(C144=4,M144*Habitat!$L$25,0)+IF(C144=5,M144*Habitat!$M$25,0)</f>
        <v>0</v>
      </c>
      <c r="Q144" s="48">
        <f>IF(C144=1,M144*Habitat!$I$28,0)+IF(C144=2,M144*Habitat!$J$28,0)+IF(C144=3,M144*Habitat!$K$28,0)+IF(C144=4,M144*Habitat!$L$28,0)+IF(C144=5,M144*Habitat!$M$28,0)</f>
        <v>0</v>
      </c>
      <c r="R144" s="48">
        <f>IF(C144=1,M144*Habitat!$I$29,0)+IF(C144=2,M144*Habitat!$J$29,0)+IF(C144=3,M144*Habitat!$K$29,0)+IF(C144=4,M144*Habitat!$L$29,0)+IF(C144=5,M144*Habitat!$M$29,0)</f>
        <v>0</v>
      </c>
      <c r="S144">
        <f>IF(C144=1,M144*Habitat!$I$30,0)+IF(C144=2,M144*Habitat!$J$30,0)+IF(C144=3,M144*Habitat!$K$30,0)+IF(C144=4,M144*Habitat!$L$30,0)+IF(C144=5,M144*Habitat!$M$30,0)</f>
        <v>0</v>
      </c>
    </row>
    <row r="145" spans="1:19">
      <c r="A145">
        <f t="shared" si="53"/>
        <v>135</v>
      </c>
      <c r="C145" s="5">
        <v>3</v>
      </c>
      <c r="D145" s="56">
        <f>D144+Habitat!$C$16</f>
        <v>805</v>
      </c>
      <c r="E145" s="48">
        <f t="shared" si="49"/>
        <v>574</v>
      </c>
      <c r="F145" s="3">
        <f>Habitat!$D$13*D145</f>
        <v>22.54</v>
      </c>
      <c r="G145" s="3">
        <f t="shared" si="54"/>
        <v>0</v>
      </c>
      <c r="H145" s="3">
        <f t="shared" si="55"/>
        <v>0</v>
      </c>
      <c r="I145" s="3"/>
      <c r="J145" s="3"/>
      <c r="K145" s="3"/>
      <c r="L145" s="3">
        <f t="shared" si="56"/>
        <v>0</v>
      </c>
      <c r="M145">
        <f t="shared" si="51"/>
        <v>0</v>
      </c>
      <c r="N145" s="48">
        <f>IF(C145=1,M145*Habitat!$I$27,0)+IF(C145=2,M145*Habitat!$J$27,0)+IF(C145=3,M145*Habitat!$K$27,0)+IF(C145=4,M145*Habitat!$L$27,0)+IF(C145=5,M145*Habitat!$M$27,0)</f>
        <v>0</v>
      </c>
      <c r="O145" s="48">
        <f>IF(C145=1,M145*Habitat!$I$26,0)+IF(C145=2,M145*Habitat!$J$26,0)+IF(C145=3,M145*Habitat!$K$26,0)+IF(C145=4,M145*Habitat!$L$26,0)+IF(C145=5,M145*Habitat!$M$26,0)</f>
        <v>0</v>
      </c>
      <c r="P145" s="48">
        <f>IF(C145=1,M145*Habitat!$I$25,0)+IF(C145=2,M145*Habitat!$J$25,0)+IF(C145=3,M145*Habitat!$K$25,0)+IF(C145=4,M145*Habitat!$L$25,0)+IF(C145=5,M145*Habitat!$M$25,0)</f>
        <v>0</v>
      </c>
      <c r="Q145" s="48">
        <f>IF(C145=1,M145*Habitat!$I$28,0)+IF(C145=2,M145*Habitat!$J$28,0)+IF(C145=3,M145*Habitat!$K$28,0)+IF(C145=4,M145*Habitat!$L$28,0)+IF(C145=5,M145*Habitat!$M$28,0)</f>
        <v>0</v>
      </c>
      <c r="R145" s="48">
        <f>IF(C145=1,M145*Habitat!$I$29,0)+IF(C145=2,M145*Habitat!$J$29,0)+IF(C145=3,M145*Habitat!$K$29,0)+IF(C145=4,M145*Habitat!$L$29,0)+IF(C145=5,M145*Habitat!$M$29,0)</f>
        <v>0</v>
      </c>
      <c r="S145">
        <f>IF(C145=1,M145*Habitat!$I$30,0)+IF(C145=2,M145*Habitat!$J$30,0)+IF(C145=3,M145*Habitat!$K$30,0)+IF(C145=4,M145*Habitat!$L$30,0)+IF(C145=5,M145*Habitat!$M$30,0)</f>
        <v>0</v>
      </c>
    </row>
    <row r="146" spans="1:19">
      <c r="A146">
        <f t="shared" ref="A146:A152" si="57">A145+1</f>
        <v>136</v>
      </c>
      <c r="C146" s="5">
        <v>3</v>
      </c>
      <c r="D146" s="56">
        <f>D145+Habitat!$C$16</f>
        <v>810</v>
      </c>
      <c r="E146" s="48">
        <f t="shared" si="49"/>
        <v>579</v>
      </c>
      <c r="F146" s="3">
        <f>Habitat!$D$13*D146</f>
        <v>22.68</v>
      </c>
      <c r="G146" s="3">
        <f t="shared" si="54"/>
        <v>0</v>
      </c>
      <c r="H146" s="3">
        <f t="shared" si="55"/>
        <v>0</v>
      </c>
      <c r="I146" s="3"/>
      <c r="J146" s="3"/>
      <c r="K146" s="3"/>
      <c r="L146" s="3">
        <f t="shared" si="56"/>
        <v>0</v>
      </c>
      <c r="M146">
        <f t="shared" si="51"/>
        <v>0</v>
      </c>
      <c r="N146" s="48">
        <f>IF(C146=1,M146*Habitat!$I$27,0)+IF(C146=2,M146*Habitat!$J$27,0)+IF(C146=3,M146*Habitat!$K$27,0)+IF(C146=4,M146*Habitat!$L$27,0)+IF(C146=5,M146*Habitat!$M$27,0)</f>
        <v>0</v>
      </c>
      <c r="O146" s="48">
        <f>IF(C146=1,M146*Habitat!$I$26,0)+IF(C146=2,M146*Habitat!$J$26,0)+IF(C146=3,M146*Habitat!$K$26,0)+IF(C146=4,M146*Habitat!$L$26,0)+IF(C146=5,M146*Habitat!$M$26,0)</f>
        <v>0</v>
      </c>
      <c r="P146" s="48">
        <f>IF(C146=1,M146*Habitat!$I$25,0)+IF(C146=2,M146*Habitat!$J$25,0)+IF(C146=3,M146*Habitat!$K$25,0)+IF(C146=4,M146*Habitat!$L$25,0)+IF(C146=5,M146*Habitat!$M$25,0)</f>
        <v>0</v>
      </c>
      <c r="Q146" s="48">
        <f>IF(C146=1,M146*Habitat!$I$28,0)+IF(C146=2,M146*Habitat!$J$28,0)+IF(C146=3,M146*Habitat!$K$28,0)+IF(C146=4,M146*Habitat!$L$28,0)+IF(C146=5,M146*Habitat!$M$28,0)</f>
        <v>0</v>
      </c>
      <c r="R146" s="48">
        <f>IF(C146=1,M146*Habitat!$I$29,0)+IF(C146=2,M146*Habitat!$J$29,0)+IF(C146=3,M146*Habitat!$K$29,0)+IF(C146=4,M146*Habitat!$L$29,0)+IF(C146=5,M146*Habitat!$M$29,0)</f>
        <v>0</v>
      </c>
      <c r="S146">
        <f>IF(C146=1,M146*Habitat!$I$30,0)+IF(C146=2,M146*Habitat!$J$30,0)+IF(C146=3,M146*Habitat!$K$30,0)+IF(C146=4,M146*Habitat!$L$30,0)+IF(C146=5,M146*Habitat!$M$30,0)</f>
        <v>0</v>
      </c>
    </row>
    <row r="147" spans="1:19">
      <c r="A147">
        <f t="shared" si="57"/>
        <v>137</v>
      </c>
      <c r="C147" s="5">
        <v>3</v>
      </c>
      <c r="D147" s="56">
        <f>D146+Habitat!$C$16</f>
        <v>815</v>
      </c>
      <c r="E147" s="48">
        <f t="shared" si="49"/>
        <v>584</v>
      </c>
      <c r="F147" s="3">
        <f>Habitat!$D$13*D147</f>
        <v>22.82</v>
      </c>
      <c r="G147" s="3">
        <f t="shared" si="54"/>
        <v>0</v>
      </c>
      <c r="H147" s="3">
        <f t="shared" si="55"/>
        <v>0</v>
      </c>
      <c r="I147" s="3"/>
      <c r="J147" s="3"/>
      <c r="K147" s="3"/>
      <c r="L147" s="3">
        <f t="shared" si="56"/>
        <v>0</v>
      </c>
      <c r="M147">
        <f t="shared" si="51"/>
        <v>0</v>
      </c>
      <c r="N147" s="48">
        <f>IF(C147=1,M147*Habitat!$I$27,0)+IF(C147=2,M147*Habitat!$J$27,0)+IF(C147=3,M147*Habitat!$K$27,0)+IF(C147=4,M147*Habitat!$L$27,0)+IF(C147=5,M147*Habitat!$M$27,0)</f>
        <v>0</v>
      </c>
      <c r="O147" s="48">
        <f>IF(C147=1,M147*Habitat!$I$26,0)+IF(C147=2,M147*Habitat!$J$26,0)+IF(C147=3,M147*Habitat!$K$26,0)+IF(C147=4,M147*Habitat!$L$26,0)+IF(C147=5,M147*Habitat!$M$26,0)</f>
        <v>0</v>
      </c>
      <c r="P147" s="48">
        <f>IF(C147=1,M147*Habitat!$I$25,0)+IF(C147=2,M147*Habitat!$J$25,0)+IF(C147=3,M147*Habitat!$K$25,0)+IF(C147=4,M147*Habitat!$L$25,0)+IF(C147=5,M147*Habitat!$M$25,0)</f>
        <v>0</v>
      </c>
      <c r="Q147" s="48">
        <f>IF(C147=1,M147*Habitat!$I$28,0)+IF(C147=2,M147*Habitat!$J$28,0)+IF(C147=3,M147*Habitat!$K$28,0)+IF(C147=4,M147*Habitat!$L$28,0)+IF(C147=5,M147*Habitat!$M$28,0)</f>
        <v>0</v>
      </c>
      <c r="R147" s="48">
        <f>IF(C147=1,M147*Habitat!$I$29,0)+IF(C147=2,M147*Habitat!$J$29,0)+IF(C147=3,M147*Habitat!$K$29,0)+IF(C147=4,M147*Habitat!$L$29,0)+IF(C147=5,M147*Habitat!$M$29,0)</f>
        <v>0</v>
      </c>
      <c r="S147">
        <f>IF(C147=1,M147*Habitat!$I$30,0)+IF(C147=2,M147*Habitat!$J$30,0)+IF(C147=3,M147*Habitat!$K$30,0)+IF(C147=4,M147*Habitat!$L$30,0)+IF(C147=5,M147*Habitat!$M$30,0)</f>
        <v>0</v>
      </c>
    </row>
    <row r="148" spans="1:19">
      <c r="A148">
        <f t="shared" si="57"/>
        <v>138</v>
      </c>
      <c r="C148" s="5">
        <v>3</v>
      </c>
      <c r="D148" s="56">
        <f>D147+Habitat!$C$16</f>
        <v>820</v>
      </c>
      <c r="E148" s="48">
        <f t="shared" si="49"/>
        <v>589</v>
      </c>
      <c r="F148" s="3">
        <f>Habitat!$D$13*D148</f>
        <v>22.96</v>
      </c>
      <c r="G148" s="3">
        <f t="shared" si="54"/>
        <v>0</v>
      </c>
      <c r="H148" s="3">
        <f t="shared" si="55"/>
        <v>0</v>
      </c>
      <c r="I148" s="3"/>
      <c r="J148" s="3"/>
      <c r="K148" s="3"/>
      <c r="L148" s="3">
        <f t="shared" si="56"/>
        <v>0</v>
      </c>
      <c r="M148">
        <f t="shared" si="51"/>
        <v>0</v>
      </c>
      <c r="N148" s="48">
        <f>IF(C148=1,M148*Habitat!$I$27,0)+IF(C148=2,M148*Habitat!$J$27,0)+IF(C148=3,M148*Habitat!$K$27,0)+IF(C148=4,M148*Habitat!$L$27,0)+IF(C148=5,M148*Habitat!$M$27,0)</f>
        <v>0</v>
      </c>
      <c r="O148" s="48">
        <f>IF(C148=1,M148*Habitat!$I$26,0)+IF(C148=2,M148*Habitat!$J$26,0)+IF(C148=3,M148*Habitat!$K$26,0)+IF(C148=4,M148*Habitat!$L$26,0)+IF(C148=5,M148*Habitat!$M$26,0)</f>
        <v>0</v>
      </c>
      <c r="P148" s="48">
        <f>IF(C148=1,M148*Habitat!$I$25,0)+IF(C148=2,M148*Habitat!$J$25,0)+IF(C148=3,M148*Habitat!$K$25,0)+IF(C148=4,M148*Habitat!$L$25,0)+IF(C148=5,M148*Habitat!$M$25,0)</f>
        <v>0</v>
      </c>
      <c r="Q148" s="48">
        <f>IF(C148=1,M148*Habitat!$I$28,0)+IF(C148=2,M148*Habitat!$J$28,0)+IF(C148=3,M148*Habitat!$K$28,0)+IF(C148=4,M148*Habitat!$L$28,0)+IF(C148=5,M148*Habitat!$M$28,0)</f>
        <v>0</v>
      </c>
      <c r="R148" s="48">
        <f>IF(C148=1,M148*Habitat!$I$29,0)+IF(C148=2,M148*Habitat!$J$29,0)+IF(C148=3,M148*Habitat!$K$29,0)+IF(C148=4,M148*Habitat!$L$29,0)+IF(C148=5,M148*Habitat!$M$29,0)</f>
        <v>0</v>
      </c>
      <c r="S148">
        <f>IF(C148=1,M148*Habitat!$I$30,0)+IF(C148=2,M148*Habitat!$J$30,0)+IF(C148=3,M148*Habitat!$K$30,0)+IF(C148=4,M148*Habitat!$L$30,0)+IF(C148=5,M148*Habitat!$M$30,0)</f>
        <v>0</v>
      </c>
    </row>
    <row r="149" spans="1:19">
      <c r="A149">
        <f t="shared" si="57"/>
        <v>139</v>
      </c>
      <c r="C149" s="5">
        <v>3</v>
      </c>
      <c r="D149" s="56">
        <f>D148+Habitat!$C$16</f>
        <v>825</v>
      </c>
      <c r="E149" s="48">
        <f t="shared" si="49"/>
        <v>594</v>
      </c>
      <c r="F149" s="3">
        <f>Habitat!$D$13*D149</f>
        <v>23.1</v>
      </c>
      <c r="G149" s="3">
        <f t="shared" si="54"/>
        <v>0</v>
      </c>
      <c r="H149" s="3">
        <f t="shared" si="55"/>
        <v>0</v>
      </c>
      <c r="I149" s="3"/>
      <c r="J149" s="3"/>
      <c r="K149" s="3"/>
      <c r="L149" s="3">
        <f t="shared" si="56"/>
        <v>0</v>
      </c>
      <c r="M149">
        <f t="shared" si="51"/>
        <v>0</v>
      </c>
      <c r="N149" s="48">
        <f>IF(C149=1,M149*Habitat!$I$27,0)+IF(C149=2,M149*Habitat!$J$27,0)+IF(C149=3,M149*Habitat!$K$27,0)+IF(C149=4,M149*Habitat!$L$27,0)+IF(C149=5,M149*Habitat!$M$27,0)</f>
        <v>0</v>
      </c>
      <c r="O149" s="48">
        <f>IF(C149=1,M149*Habitat!$I$26,0)+IF(C149=2,M149*Habitat!$J$26,0)+IF(C149=3,M149*Habitat!$K$26,0)+IF(C149=4,M149*Habitat!$L$26,0)+IF(C149=5,M149*Habitat!$M$26,0)</f>
        <v>0</v>
      </c>
      <c r="P149" s="48">
        <f>IF(C149=1,M149*Habitat!$I$25,0)+IF(C149=2,M149*Habitat!$J$25,0)+IF(C149=3,M149*Habitat!$K$25,0)+IF(C149=4,M149*Habitat!$L$25,0)+IF(C149=5,M149*Habitat!$M$25,0)</f>
        <v>0</v>
      </c>
      <c r="Q149" s="48">
        <f>IF(C149=1,M149*Habitat!$I$28,0)+IF(C149=2,M149*Habitat!$J$28,0)+IF(C149=3,M149*Habitat!$K$28,0)+IF(C149=4,M149*Habitat!$L$28,0)+IF(C149=5,M149*Habitat!$M$28,0)</f>
        <v>0</v>
      </c>
      <c r="R149" s="48">
        <f>IF(C149=1,M149*Habitat!$I$29,0)+IF(C149=2,M149*Habitat!$J$29,0)+IF(C149=3,M149*Habitat!$K$29,0)+IF(C149=4,M149*Habitat!$L$29,0)+IF(C149=5,M149*Habitat!$M$29,0)</f>
        <v>0</v>
      </c>
      <c r="S149">
        <f>IF(C149=1,M149*Habitat!$I$30,0)+IF(C149=2,M149*Habitat!$J$30,0)+IF(C149=3,M149*Habitat!$K$30,0)+IF(C149=4,M149*Habitat!$L$30,0)+IF(C149=5,M149*Habitat!$M$30,0)</f>
        <v>0</v>
      </c>
    </row>
    <row r="150" spans="1:19">
      <c r="A150">
        <f t="shared" si="57"/>
        <v>140</v>
      </c>
      <c r="C150" s="5">
        <v>3</v>
      </c>
      <c r="D150" s="56">
        <f>D149+Habitat!$C$16</f>
        <v>830</v>
      </c>
      <c r="E150" s="48">
        <f t="shared" si="49"/>
        <v>599</v>
      </c>
      <c r="F150" s="3">
        <f>Habitat!$D$13*D150</f>
        <v>23.240000000000002</v>
      </c>
      <c r="G150" s="3">
        <f t="shared" si="54"/>
        <v>0</v>
      </c>
      <c r="H150" s="3">
        <f t="shared" si="55"/>
        <v>0</v>
      </c>
      <c r="I150" s="3"/>
      <c r="J150" s="3"/>
      <c r="K150" s="3"/>
      <c r="L150" s="3">
        <f t="shared" si="56"/>
        <v>0</v>
      </c>
      <c r="M150">
        <f t="shared" si="51"/>
        <v>0</v>
      </c>
      <c r="N150" s="48">
        <f>IF(C150=1,M150*Habitat!$I$27,0)+IF(C150=2,M150*Habitat!$J$27,0)+IF(C150=3,M150*Habitat!$K$27,0)+IF(C150=4,M150*Habitat!$L$27,0)+IF(C150=5,M150*Habitat!$M$27,0)</f>
        <v>0</v>
      </c>
      <c r="O150" s="48">
        <f>IF(C150=1,M150*Habitat!$I$26,0)+IF(C150=2,M150*Habitat!$J$26,0)+IF(C150=3,M150*Habitat!$K$26,0)+IF(C150=4,M150*Habitat!$L$26,0)+IF(C150=5,M150*Habitat!$M$26,0)</f>
        <v>0</v>
      </c>
      <c r="P150" s="48">
        <f>IF(C150=1,M150*Habitat!$I$25,0)+IF(C150=2,M150*Habitat!$J$25,0)+IF(C150=3,M150*Habitat!$K$25,0)+IF(C150=4,M150*Habitat!$L$25,0)+IF(C150=5,M150*Habitat!$M$25,0)</f>
        <v>0</v>
      </c>
      <c r="Q150" s="48">
        <f>IF(C150=1,M150*Habitat!$I$28,0)+IF(C150=2,M150*Habitat!$J$28,0)+IF(C150=3,M150*Habitat!$K$28,0)+IF(C150=4,M150*Habitat!$L$28,0)+IF(C150=5,M150*Habitat!$M$28,0)</f>
        <v>0</v>
      </c>
      <c r="R150" s="48">
        <f>IF(C150=1,M150*Habitat!$I$29,0)+IF(C150=2,M150*Habitat!$J$29,0)+IF(C150=3,M150*Habitat!$K$29,0)+IF(C150=4,M150*Habitat!$L$29,0)+IF(C150=5,M150*Habitat!$M$29,0)</f>
        <v>0</v>
      </c>
      <c r="S150">
        <f>IF(C150=1,M150*Habitat!$I$30,0)+IF(C150=2,M150*Habitat!$J$30,0)+IF(C150=3,M150*Habitat!$K$30,0)+IF(C150=4,M150*Habitat!$L$30,0)+IF(C150=5,M150*Habitat!$M$30,0)</f>
        <v>0</v>
      </c>
    </row>
    <row r="151" spans="1:19">
      <c r="A151">
        <f t="shared" si="57"/>
        <v>141</v>
      </c>
      <c r="C151" s="5">
        <v>3</v>
      </c>
      <c r="D151" s="56">
        <f>D150+Habitat!$C$16</f>
        <v>835</v>
      </c>
      <c r="E151" s="48">
        <f t="shared" si="49"/>
        <v>604</v>
      </c>
      <c r="F151" s="3">
        <f>Habitat!$D$13*D151</f>
        <v>23.38</v>
      </c>
      <c r="G151" s="3">
        <f t="shared" si="54"/>
        <v>0</v>
      </c>
      <c r="H151" s="3">
        <f t="shared" si="55"/>
        <v>0</v>
      </c>
      <c r="I151" s="3"/>
      <c r="J151" s="3"/>
      <c r="K151" s="3"/>
      <c r="L151" s="3">
        <f t="shared" si="56"/>
        <v>0</v>
      </c>
      <c r="M151">
        <f t="shared" si="51"/>
        <v>0</v>
      </c>
      <c r="N151" s="48">
        <f>IF(C151=1,M151*Habitat!$I$27,0)+IF(C151=2,M151*Habitat!$J$27,0)+IF(C151=3,M151*Habitat!$K$27,0)+IF(C151=4,M151*Habitat!$L$27,0)+IF(C151=5,M151*Habitat!$M$27,0)</f>
        <v>0</v>
      </c>
      <c r="O151" s="48">
        <f>IF(C151=1,M151*Habitat!$I$26,0)+IF(C151=2,M151*Habitat!$J$26,0)+IF(C151=3,M151*Habitat!$K$26,0)+IF(C151=4,M151*Habitat!$L$26,0)+IF(C151=5,M151*Habitat!$M$26,0)</f>
        <v>0</v>
      </c>
      <c r="P151" s="48">
        <f>IF(C151=1,M151*Habitat!$I$25,0)+IF(C151=2,M151*Habitat!$J$25,0)+IF(C151=3,M151*Habitat!$K$25,0)+IF(C151=4,M151*Habitat!$L$25,0)+IF(C151=5,M151*Habitat!$M$25,0)</f>
        <v>0</v>
      </c>
      <c r="Q151" s="48">
        <f>IF(C151=1,M151*Habitat!$I$28,0)+IF(C151=2,M151*Habitat!$J$28,0)+IF(C151=3,M151*Habitat!$K$28,0)+IF(C151=4,M151*Habitat!$L$28,0)+IF(C151=5,M151*Habitat!$M$28,0)</f>
        <v>0</v>
      </c>
      <c r="R151" s="48">
        <f>IF(C151=1,M151*Habitat!$I$29,0)+IF(C151=2,M151*Habitat!$J$29,0)+IF(C151=3,M151*Habitat!$K$29,0)+IF(C151=4,M151*Habitat!$L$29,0)+IF(C151=5,M151*Habitat!$M$29,0)</f>
        <v>0</v>
      </c>
      <c r="S151">
        <f>IF(C151=1,M151*Habitat!$I$30,0)+IF(C151=2,M151*Habitat!$J$30,0)+IF(C151=3,M151*Habitat!$K$30,0)+IF(C151=4,M151*Habitat!$L$30,0)+IF(C151=5,M151*Habitat!$M$30,0)</f>
        <v>0</v>
      </c>
    </row>
    <row r="152" spans="1:19">
      <c r="A152">
        <f t="shared" si="57"/>
        <v>142</v>
      </c>
      <c r="C152" s="5">
        <v>3</v>
      </c>
      <c r="D152" s="56">
        <f>D151+Habitat!$C$16</f>
        <v>840</v>
      </c>
      <c r="E152" s="48">
        <f t="shared" si="49"/>
        <v>609</v>
      </c>
      <c r="F152" s="3">
        <f>Habitat!$D$13*D152</f>
        <v>23.52</v>
      </c>
      <c r="G152" s="3">
        <f t="shared" si="54"/>
        <v>0</v>
      </c>
      <c r="H152" s="3">
        <f t="shared" si="55"/>
        <v>0</v>
      </c>
      <c r="I152" s="3"/>
      <c r="J152" s="3"/>
      <c r="K152" s="3"/>
      <c r="L152" s="3">
        <f t="shared" si="56"/>
        <v>0</v>
      </c>
      <c r="M152">
        <f t="shared" si="51"/>
        <v>0</v>
      </c>
      <c r="N152" s="48">
        <f>IF(C152=1,M152*Habitat!$I$27,0)+IF(C152=2,M152*Habitat!$J$27,0)+IF(C152=3,M152*Habitat!$K$27,0)+IF(C152=4,M152*Habitat!$L$27,0)+IF(C152=5,M152*Habitat!$M$27,0)</f>
        <v>0</v>
      </c>
      <c r="O152" s="48">
        <f>IF(C152=1,M152*Habitat!$I$26,0)+IF(C152=2,M152*Habitat!$J$26,0)+IF(C152=3,M152*Habitat!$K$26,0)+IF(C152=4,M152*Habitat!$L$26,0)+IF(C152=5,M152*Habitat!$M$26,0)</f>
        <v>0</v>
      </c>
      <c r="P152" s="48">
        <f>IF(C152=1,M152*Habitat!$I$25,0)+IF(C152=2,M152*Habitat!$J$25,0)+IF(C152=3,M152*Habitat!$K$25,0)+IF(C152=4,M152*Habitat!$L$25,0)+IF(C152=5,M152*Habitat!$M$25,0)</f>
        <v>0</v>
      </c>
      <c r="Q152" s="48">
        <f>IF(C152=1,M152*Habitat!$I$28,0)+IF(C152=2,M152*Habitat!$J$28,0)+IF(C152=3,M152*Habitat!$K$28,0)+IF(C152=4,M152*Habitat!$L$28,0)+IF(C152=5,M152*Habitat!$M$28,0)</f>
        <v>0</v>
      </c>
      <c r="R152" s="48">
        <f>IF(C152=1,M152*Habitat!$I$29,0)+IF(C152=2,M152*Habitat!$J$29,0)+IF(C152=3,M152*Habitat!$K$29,0)+IF(C152=4,M152*Habitat!$L$29,0)+IF(C152=5,M152*Habitat!$M$29,0)</f>
        <v>0</v>
      </c>
      <c r="S152">
        <f>IF(C152=1,M152*Habitat!$I$30,0)+IF(C152=2,M152*Habitat!$J$30,0)+IF(C152=3,M152*Habitat!$K$30,0)+IF(C152=4,M152*Habitat!$L$30,0)+IF(C152=5,M152*Habitat!$M$30,0)</f>
        <v>0</v>
      </c>
    </row>
    <row r="153" spans="1:19">
      <c r="A153">
        <f t="shared" ref="A153:A157" si="58">A152+1</f>
        <v>143</v>
      </c>
      <c r="C153" s="5">
        <v>3</v>
      </c>
      <c r="D153" s="56">
        <f>D152+Habitat!$C$16</f>
        <v>845</v>
      </c>
      <c r="E153" s="48">
        <f t="shared" si="49"/>
        <v>614</v>
      </c>
      <c r="F153" s="3">
        <f>Habitat!$D$13*D153</f>
        <v>23.66</v>
      </c>
      <c r="G153" s="3">
        <f t="shared" si="54"/>
        <v>0</v>
      </c>
      <c r="H153" s="3">
        <f t="shared" si="55"/>
        <v>0</v>
      </c>
      <c r="I153" s="3"/>
      <c r="J153" s="3"/>
      <c r="K153" s="3"/>
      <c r="L153" s="3">
        <f t="shared" si="56"/>
        <v>0</v>
      </c>
      <c r="M153">
        <f t="shared" si="51"/>
        <v>0</v>
      </c>
      <c r="N153" s="48">
        <f>IF(C153=1,M153*Habitat!$I$27,0)+IF(C153=2,M153*Habitat!$J$27,0)+IF(C153=3,M153*Habitat!$K$27,0)+IF(C153=4,M153*Habitat!$L$27,0)+IF(C153=5,M153*Habitat!$M$27,0)</f>
        <v>0</v>
      </c>
      <c r="O153" s="48">
        <f>IF(C153=1,M153*Habitat!$I$26,0)+IF(C153=2,M153*Habitat!$J$26,0)+IF(C153=3,M153*Habitat!$K$26,0)+IF(C153=4,M153*Habitat!$L$26,0)+IF(C153=5,M153*Habitat!$M$26,0)</f>
        <v>0</v>
      </c>
      <c r="P153" s="48">
        <f>IF(C153=1,M153*Habitat!$I$25,0)+IF(C153=2,M153*Habitat!$J$25,0)+IF(C153=3,M153*Habitat!$K$25,0)+IF(C153=4,M153*Habitat!$L$25,0)+IF(C153=5,M153*Habitat!$M$25,0)</f>
        <v>0</v>
      </c>
      <c r="Q153" s="48">
        <f>IF(C153=1,M153*Habitat!$I$28,0)+IF(C153=2,M153*Habitat!$J$28,0)+IF(C153=3,M153*Habitat!$K$28,0)+IF(C153=4,M153*Habitat!$L$28,0)+IF(C153=5,M153*Habitat!$M$28,0)</f>
        <v>0</v>
      </c>
      <c r="R153" s="48">
        <f>IF(C153=1,M153*Habitat!$I$29,0)+IF(C153=2,M153*Habitat!$J$29,0)+IF(C153=3,M153*Habitat!$K$29,0)+IF(C153=4,M153*Habitat!$L$29,0)+IF(C153=5,M153*Habitat!$M$29,0)</f>
        <v>0</v>
      </c>
      <c r="S153">
        <f>IF(C153=1,M153*Habitat!$I$30,0)+IF(C153=2,M153*Habitat!$J$30,0)+IF(C153=3,M153*Habitat!$K$30,0)+IF(C153=4,M153*Habitat!$L$30,0)+IF(C153=5,M153*Habitat!$M$30,0)</f>
        <v>0</v>
      </c>
    </row>
    <row r="154" spans="1:19">
      <c r="A154">
        <f t="shared" si="58"/>
        <v>144</v>
      </c>
      <c r="C154" s="5">
        <v>3</v>
      </c>
      <c r="D154" s="56">
        <f>D153+Habitat!$C$16</f>
        <v>850</v>
      </c>
      <c r="E154" s="48">
        <f t="shared" si="49"/>
        <v>619</v>
      </c>
      <c r="F154" s="3">
        <f>Habitat!$D$13*D154</f>
        <v>23.8</v>
      </c>
      <c r="G154" s="3">
        <f t="shared" si="54"/>
        <v>0</v>
      </c>
      <c r="H154" s="3">
        <f t="shared" si="55"/>
        <v>0</v>
      </c>
      <c r="I154" s="3"/>
      <c r="J154" s="3"/>
      <c r="K154" s="3"/>
      <c r="L154" s="3">
        <f t="shared" si="56"/>
        <v>0</v>
      </c>
      <c r="M154">
        <f t="shared" si="51"/>
        <v>0</v>
      </c>
      <c r="N154" s="48">
        <f>IF(C154=1,M154*Habitat!$I$27,0)+IF(C154=2,M154*Habitat!$J$27,0)+IF(C154=3,M154*Habitat!$K$27,0)+IF(C154=4,M154*Habitat!$L$27,0)+IF(C154=5,M154*Habitat!$M$27,0)</f>
        <v>0</v>
      </c>
      <c r="O154" s="48">
        <f>IF(C154=1,M154*Habitat!$I$26,0)+IF(C154=2,M154*Habitat!$J$26,0)+IF(C154=3,M154*Habitat!$K$26,0)+IF(C154=4,M154*Habitat!$L$26,0)+IF(C154=5,M154*Habitat!$M$26,0)</f>
        <v>0</v>
      </c>
      <c r="P154" s="48">
        <f>IF(C154=1,M154*Habitat!$I$25,0)+IF(C154=2,M154*Habitat!$J$25,0)+IF(C154=3,M154*Habitat!$K$25,0)+IF(C154=4,M154*Habitat!$L$25,0)+IF(C154=5,M154*Habitat!$M$25,0)</f>
        <v>0</v>
      </c>
      <c r="Q154" s="48">
        <f>IF(C154=1,M154*Habitat!$I$28,0)+IF(C154=2,M154*Habitat!$J$28,0)+IF(C154=3,M154*Habitat!$K$28,0)+IF(C154=4,M154*Habitat!$L$28,0)+IF(C154=5,M154*Habitat!$M$28,0)</f>
        <v>0</v>
      </c>
      <c r="R154" s="48">
        <f>IF(C154=1,M154*Habitat!$I$29,0)+IF(C154=2,M154*Habitat!$J$29,0)+IF(C154=3,M154*Habitat!$K$29,0)+IF(C154=4,M154*Habitat!$L$29,0)+IF(C154=5,M154*Habitat!$M$29,0)</f>
        <v>0</v>
      </c>
      <c r="S154">
        <f>IF(C154=1,M154*Habitat!$I$30,0)+IF(C154=2,M154*Habitat!$J$30,0)+IF(C154=3,M154*Habitat!$K$30,0)+IF(C154=4,M154*Habitat!$L$30,0)+IF(C154=5,M154*Habitat!$M$30,0)</f>
        <v>0</v>
      </c>
    </row>
    <row r="155" spans="1:19">
      <c r="A155">
        <f t="shared" si="58"/>
        <v>145</v>
      </c>
      <c r="C155" s="5">
        <v>3</v>
      </c>
      <c r="D155" s="56">
        <f>D154+Habitat!$C$16</f>
        <v>855</v>
      </c>
      <c r="E155" s="48">
        <f t="shared" si="49"/>
        <v>624</v>
      </c>
      <c r="F155" s="3">
        <f>Habitat!$D$13*D155</f>
        <v>23.94</v>
      </c>
      <c r="G155" s="3">
        <f t="shared" si="54"/>
        <v>0</v>
      </c>
      <c r="H155" s="3">
        <f t="shared" si="55"/>
        <v>0</v>
      </c>
      <c r="I155" s="3"/>
      <c r="J155" s="3"/>
      <c r="K155" s="3"/>
      <c r="L155" s="3">
        <f t="shared" si="56"/>
        <v>0</v>
      </c>
      <c r="M155">
        <f t="shared" si="51"/>
        <v>0</v>
      </c>
      <c r="N155" s="48">
        <f>IF(C155=1,M155*Habitat!$I$27,0)+IF(C155=2,M155*Habitat!$J$27,0)+IF(C155=3,M155*Habitat!$K$27,0)+IF(C155=4,M155*Habitat!$L$27,0)+IF(C155=5,M155*Habitat!$M$27,0)</f>
        <v>0</v>
      </c>
      <c r="O155" s="48">
        <f>IF(C155=1,M155*Habitat!$I$26,0)+IF(C155=2,M155*Habitat!$J$26,0)+IF(C155=3,M155*Habitat!$K$26,0)+IF(C155=4,M155*Habitat!$L$26,0)+IF(C155=5,M155*Habitat!$M$26,0)</f>
        <v>0</v>
      </c>
      <c r="P155" s="48">
        <f>IF(C155=1,M155*Habitat!$I$25,0)+IF(C155=2,M155*Habitat!$J$25,0)+IF(C155=3,M155*Habitat!$K$25,0)+IF(C155=4,M155*Habitat!$L$25,0)+IF(C155=5,M155*Habitat!$M$25,0)</f>
        <v>0</v>
      </c>
      <c r="Q155" s="48">
        <f>IF(C155=1,M155*Habitat!$I$28,0)+IF(C155=2,M155*Habitat!$J$28,0)+IF(C155=3,M155*Habitat!$K$28,0)+IF(C155=4,M155*Habitat!$L$28,0)+IF(C155=5,M155*Habitat!$M$28,0)</f>
        <v>0</v>
      </c>
      <c r="R155" s="48">
        <f>IF(C155=1,M155*Habitat!$I$29,0)+IF(C155=2,M155*Habitat!$J$29,0)+IF(C155=3,M155*Habitat!$K$29,0)+IF(C155=4,M155*Habitat!$L$29,0)+IF(C155=5,M155*Habitat!$M$29,0)</f>
        <v>0</v>
      </c>
      <c r="S155">
        <f>IF(C155=1,M155*Habitat!$I$30,0)+IF(C155=2,M155*Habitat!$J$30,0)+IF(C155=3,M155*Habitat!$K$30,0)+IF(C155=4,M155*Habitat!$L$30,0)+IF(C155=5,M155*Habitat!$M$30,0)</f>
        <v>0</v>
      </c>
    </row>
    <row r="156" spans="1:19">
      <c r="A156">
        <f t="shared" si="58"/>
        <v>146</v>
      </c>
      <c r="C156" s="5">
        <v>3</v>
      </c>
      <c r="D156" s="56">
        <f>D155+Habitat!$C$16</f>
        <v>860</v>
      </c>
      <c r="E156" s="48">
        <f t="shared" si="49"/>
        <v>629</v>
      </c>
      <c r="F156" s="3">
        <f>Habitat!$D$13*D156</f>
        <v>24.080000000000002</v>
      </c>
      <c r="G156" s="3">
        <f t="shared" si="54"/>
        <v>0</v>
      </c>
      <c r="H156" s="3">
        <f t="shared" si="55"/>
        <v>0</v>
      </c>
      <c r="I156" s="3"/>
      <c r="J156" s="3"/>
      <c r="K156" s="3"/>
      <c r="L156" s="3">
        <f t="shared" si="56"/>
        <v>0</v>
      </c>
      <c r="M156">
        <f t="shared" si="51"/>
        <v>0</v>
      </c>
      <c r="N156" s="48">
        <f>IF(C156=1,M156*Habitat!$I$27,0)+IF(C156=2,M156*Habitat!$J$27,0)+IF(C156=3,M156*Habitat!$K$27,0)+IF(C156=4,M156*Habitat!$L$27,0)+IF(C156=5,M156*Habitat!$M$27,0)</f>
        <v>0</v>
      </c>
      <c r="O156" s="48">
        <f>IF(C156=1,M156*Habitat!$I$26,0)+IF(C156=2,M156*Habitat!$J$26,0)+IF(C156=3,M156*Habitat!$K$26,0)+IF(C156=4,M156*Habitat!$L$26,0)+IF(C156=5,M156*Habitat!$M$26,0)</f>
        <v>0</v>
      </c>
      <c r="P156" s="48">
        <f>IF(C156=1,M156*Habitat!$I$25,0)+IF(C156=2,M156*Habitat!$J$25,0)+IF(C156=3,M156*Habitat!$K$25,0)+IF(C156=4,M156*Habitat!$L$25,0)+IF(C156=5,M156*Habitat!$M$25,0)</f>
        <v>0</v>
      </c>
      <c r="Q156" s="48">
        <f>IF(C156=1,M156*Habitat!$I$28,0)+IF(C156=2,M156*Habitat!$J$28,0)+IF(C156=3,M156*Habitat!$K$28,0)+IF(C156=4,M156*Habitat!$L$28,0)+IF(C156=5,M156*Habitat!$M$28,0)</f>
        <v>0</v>
      </c>
      <c r="R156" s="48">
        <f>IF(C156=1,M156*Habitat!$I$29,0)+IF(C156=2,M156*Habitat!$J$29,0)+IF(C156=3,M156*Habitat!$K$29,0)+IF(C156=4,M156*Habitat!$L$29,0)+IF(C156=5,M156*Habitat!$M$29,0)</f>
        <v>0</v>
      </c>
      <c r="S156">
        <f>IF(C156=1,M156*Habitat!$I$30,0)+IF(C156=2,M156*Habitat!$J$30,0)+IF(C156=3,M156*Habitat!$K$30,0)+IF(C156=4,M156*Habitat!$L$30,0)+IF(C156=5,M156*Habitat!$M$30,0)</f>
        <v>0</v>
      </c>
    </row>
    <row r="157" spans="1:19">
      <c r="A157">
        <f t="shared" si="58"/>
        <v>147</v>
      </c>
      <c r="C157" s="5">
        <v>3</v>
      </c>
      <c r="D157" s="56">
        <f>D156+Habitat!$C$16</f>
        <v>865</v>
      </c>
      <c r="E157" s="48">
        <f t="shared" si="49"/>
        <v>634</v>
      </c>
      <c r="F157" s="3">
        <f>Habitat!$D$13*D157</f>
        <v>24.22</v>
      </c>
      <c r="G157" s="3">
        <f t="shared" si="54"/>
        <v>0</v>
      </c>
      <c r="H157" s="3">
        <f t="shared" si="55"/>
        <v>0</v>
      </c>
      <c r="I157" s="3"/>
      <c r="J157" s="3"/>
      <c r="K157" s="3"/>
      <c r="L157" s="3">
        <f t="shared" si="56"/>
        <v>0</v>
      </c>
      <c r="M157">
        <f t="shared" si="51"/>
        <v>0</v>
      </c>
      <c r="N157" s="48">
        <f>IF(C157=1,M157*Habitat!$I$27,0)+IF(C157=2,M157*Habitat!$J$27,0)+IF(C157=3,M157*Habitat!$K$27,0)+IF(C157=4,M157*Habitat!$L$27,0)+IF(C157=5,M157*Habitat!$M$27,0)</f>
        <v>0</v>
      </c>
      <c r="O157" s="48">
        <f>IF(C157=1,M157*Habitat!$I$26,0)+IF(C157=2,M157*Habitat!$J$26,0)+IF(C157=3,M157*Habitat!$K$26,0)+IF(C157=4,M157*Habitat!$L$26,0)+IF(C157=5,M157*Habitat!$M$26,0)</f>
        <v>0</v>
      </c>
      <c r="P157" s="48">
        <f>IF(C157=1,M157*Habitat!$I$25,0)+IF(C157=2,M157*Habitat!$J$25,0)+IF(C157=3,M157*Habitat!$K$25,0)+IF(C157=4,M157*Habitat!$L$25,0)+IF(C157=5,M157*Habitat!$M$25,0)</f>
        <v>0</v>
      </c>
      <c r="Q157" s="48">
        <f>IF(C157=1,M157*Habitat!$I$28,0)+IF(C157=2,M157*Habitat!$J$28,0)+IF(C157=3,M157*Habitat!$K$28,0)+IF(C157=4,M157*Habitat!$L$28,0)+IF(C157=5,M157*Habitat!$M$28,0)</f>
        <v>0</v>
      </c>
      <c r="R157" s="48">
        <f>IF(C157=1,M157*Habitat!$I$29,0)+IF(C157=2,M157*Habitat!$J$29,0)+IF(C157=3,M157*Habitat!$K$29,0)+IF(C157=4,M157*Habitat!$L$29,0)+IF(C157=5,M157*Habitat!$M$29,0)</f>
        <v>0</v>
      </c>
      <c r="S157">
        <f>IF(C157=1,M157*Habitat!$I$30,0)+IF(C157=2,M157*Habitat!$J$30,0)+IF(C157=3,M157*Habitat!$K$30,0)+IF(C157=4,M157*Habitat!$L$30,0)+IF(C157=5,M157*Habitat!$M$30,0)</f>
        <v>0</v>
      </c>
    </row>
    <row r="158" spans="1:19">
      <c r="A158">
        <f t="shared" ref="A158:A212" si="59">A157+1</f>
        <v>148</v>
      </c>
      <c r="C158" s="5">
        <v>3</v>
      </c>
      <c r="D158" s="56">
        <f>D157+Habitat!$C$16</f>
        <v>870</v>
      </c>
      <c r="E158" s="48">
        <f t="shared" si="49"/>
        <v>639</v>
      </c>
      <c r="F158" s="3">
        <f>Habitat!$D$13*D158</f>
        <v>24.36</v>
      </c>
      <c r="G158" s="3">
        <f t="shared" si="54"/>
        <v>0</v>
      </c>
      <c r="H158" s="3">
        <f t="shared" si="55"/>
        <v>0</v>
      </c>
      <c r="I158" s="3"/>
      <c r="J158" s="3"/>
      <c r="K158" s="3"/>
      <c r="L158" s="3">
        <f t="shared" si="56"/>
        <v>0</v>
      </c>
      <c r="M158">
        <f t="shared" si="51"/>
        <v>0</v>
      </c>
      <c r="N158" s="48">
        <f>IF(C158=1,M158*Habitat!$I$27,0)+IF(C158=2,M158*Habitat!$J$27,0)+IF(C158=3,M158*Habitat!$K$27,0)+IF(C158=4,M158*Habitat!$L$27,0)+IF(C158=5,M158*Habitat!$M$27,0)</f>
        <v>0</v>
      </c>
      <c r="O158" s="48">
        <f>IF(C158=1,M158*Habitat!$I$26,0)+IF(C158=2,M158*Habitat!$J$26,0)+IF(C158=3,M158*Habitat!$K$26,0)+IF(C158=4,M158*Habitat!$L$26,0)+IF(C158=5,M158*Habitat!$M$26,0)</f>
        <v>0</v>
      </c>
      <c r="P158" s="48">
        <f>IF(C158=1,M158*Habitat!$I$25,0)+IF(C158=2,M158*Habitat!$J$25,0)+IF(C158=3,M158*Habitat!$K$25,0)+IF(C158=4,M158*Habitat!$L$25,0)+IF(C158=5,M158*Habitat!$M$25,0)</f>
        <v>0</v>
      </c>
      <c r="Q158" s="48">
        <f>IF(C158=1,M158*Habitat!$I$28,0)+IF(C158=2,M158*Habitat!$J$28,0)+IF(C158=3,M158*Habitat!$K$28,0)+IF(C158=4,M158*Habitat!$L$28,0)+IF(C158=5,M158*Habitat!$M$28,0)</f>
        <v>0</v>
      </c>
      <c r="R158" s="48">
        <f>IF(C158=1,M158*Habitat!$I$29,0)+IF(C158=2,M158*Habitat!$J$29,0)+IF(C158=3,M158*Habitat!$K$29,0)+IF(C158=4,M158*Habitat!$L$29,0)+IF(C158=5,M158*Habitat!$M$29,0)</f>
        <v>0</v>
      </c>
      <c r="S158">
        <f>IF(C158=1,M158*Habitat!$I$30,0)+IF(C158=2,M158*Habitat!$J$30,0)+IF(C158=3,M158*Habitat!$K$30,0)+IF(C158=4,M158*Habitat!$L$30,0)+IF(C158=5,M158*Habitat!$M$30,0)</f>
        <v>0</v>
      </c>
    </row>
    <row r="159" spans="1:19">
      <c r="A159">
        <f t="shared" si="59"/>
        <v>149</v>
      </c>
      <c r="C159" s="5">
        <v>3</v>
      </c>
      <c r="D159" s="56">
        <f>D158+Habitat!$C$16</f>
        <v>875</v>
      </c>
      <c r="E159" s="48">
        <f t="shared" si="49"/>
        <v>644</v>
      </c>
      <c r="F159" s="3">
        <f>Habitat!$D$13*D159</f>
        <v>24.5</v>
      </c>
      <c r="G159" s="3">
        <f t="shared" si="54"/>
        <v>0</v>
      </c>
      <c r="H159" s="3">
        <f t="shared" si="55"/>
        <v>0</v>
      </c>
      <c r="I159" s="3"/>
      <c r="J159" s="3"/>
      <c r="K159" s="3"/>
      <c r="L159" s="3">
        <f t="shared" si="56"/>
        <v>0</v>
      </c>
      <c r="M159">
        <f t="shared" si="51"/>
        <v>0</v>
      </c>
      <c r="N159" s="48">
        <f>IF(C159=1,M159*Habitat!$I$27,0)+IF(C159=2,M159*Habitat!$J$27,0)+IF(C159=3,M159*Habitat!$K$27,0)+IF(C159=4,M159*Habitat!$L$27,0)+IF(C159=5,M159*Habitat!$M$27,0)</f>
        <v>0</v>
      </c>
      <c r="O159" s="48">
        <f>IF(C159=1,M159*Habitat!$I$26,0)+IF(C159=2,M159*Habitat!$J$26,0)+IF(C159=3,M159*Habitat!$K$26,0)+IF(C159=4,M159*Habitat!$L$26,0)+IF(C159=5,M159*Habitat!$M$26,0)</f>
        <v>0</v>
      </c>
      <c r="P159" s="48">
        <f>IF(C159=1,M159*Habitat!$I$25,0)+IF(C159=2,M159*Habitat!$J$25,0)+IF(C159=3,M159*Habitat!$K$25,0)+IF(C159=4,M159*Habitat!$L$25,0)+IF(C159=5,M159*Habitat!$M$25,0)</f>
        <v>0</v>
      </c>
      <c r="Q159" s="48">
        <f>IF(C159=1,M159*Habitat!$I$28,0)+IF(C159=2,M159*Habitat!$J$28,0)+IF(C159=3,M159*Habitat!$K$28,0)+IF(C159=4,M159*Habitat!$L$28,0)+IF(C159=5,M159*Habitat!$M$28,0)</f>
        <v>0</v>
      </c>
      <c r="R159" s="48">
        <f>IF(C159=1,M159*Habitat!$I$29,0)+IF(C159=2,M159*Habitat!$J$29,0)+IF(C159=3,M159*Habitat!$K$29,0)+IF(C159=4,M159*Habitat!$L$29,0)+IF(C159=5,M159*Habitat!$M$29,0)</f>
        <v>0</v>
      </c>
      <c r="S159">
        <f>IF(C159=1,M159*Habitat!$I$30,0)+IF(C159=2,M159*Habitat!$J$30,0)+IF(C159=3,M159*Habitat!$K$30,0)+IF(C159=4,M159*Habitat!$L$30,0)+IF(C159=5,M159*Habitat!$M$30,0)</f>
        <v>0</v>
      </c>
    </row>
    <row r="160" spans="1:19">
      <c r="A160">
        <f t="shared" si="59"/>
        <v>150</v>
      </c>
      <c r="C160" s="5">
        <v>3</v>
      </c>
      <c r="D160" s="56">
        <f>D159+Habitat!$C$16</f>
        <v>880</v>
      </c>
      <c r="E160" s="48">
        <f t="shared" si="49"/>
        <v>649</v>
      </c>
      <c r="F160" s="3">
        <f>Habitat!$D$13*D160</f>
        <v>24.64</v>
      </c>
      <c r="G160" s="3">
        <f t="shared" si="54"/>
        <v>0</v>
      </c>
      <c r="H160" s="3">
        <f t="shared" si="55"/>
        <v>0</v>
      </c>
      <c r="I160" s="3"/>
      <c r="J160" s="3"/>
      <c r="K160" s="3"/>
      <c r="L160" s="3">
        <f t="shared" si="56"/>
        <v>0</v>
      </c>
      <c r="M160">
        <f t="shared" si="51"/>
        <v>0</v>
      </c>
      <c r="N160" s="48">
        <f>IF(C160=1,M160*Habitat!$I$27,0)+IF(C160=2,M160*Habitat!$J$27,0)+IF(C160=3,M160*Habitat!$K$27,0)+IF(C160=4,M160*Habitat!$L$27,0)+IF(C160=5,M160*Habitat!$M$27,0)</f>
        <v>0</v>
      </c>
      <c r="O160" s="48">
        <f>IF(C160=1,M160*Habitat!$I$26,0)+IF(C160=2,M160*Habitat!$J$26,0)+IF(C160=3,M160*Habitat!$K$26,0)+IF(C160=4,M160*Habitat!$L$26,0)+IF(C160=5,M160*Habitat!$M$26,0)</f>
        <v>0</v>
      </c>
      <c r="P160" s="48">
        <f>IF(C160=1,M160*Habitat!$I$25,0)+IF(C160=2,M160*Habitat!$J$25,0)+IF(C160=3,M160*Habitat!$K$25,0)+IF(C160=4,M160*Habitat!$L$25,0)+IF(C160=5,M160*Habitat!$M$25,0)</f>
        <v>0</v>
      </c>
      <c r="Q160" s="48">
        <f>IF(C160=1,M160*Habitat!$I$28,0)+IF(C160=2,M160*Habitat!$J$28,0)+IF(C160=3,M160*Habitat!$K$28,0)+IF(C160=4,M160*Habitat!$L$28,0)+IF(C160=5,M160*Habitat!$M$28,0)</f>
        <v>0</v>
      </c>
      <c r="R160" s="48">
        <f>IF(C160=1,M160*Habitat!$I$29,0)+IF(C160=2,M160*Habitat!$J$29,0)+IF(C160=3,M160*Habitat!$K$29,0)+IF(C160=4,M160*Habitat!$L$29,0)+IF(C160=5,M160*Habitat!$M$29,0)</f>
        <v>0</v>
      </c>
      <c r="S160">
        <f>IF(C160=1,M160*Habitat!$I$30,0)+IF(C160=2,M160*Habitat!$J$30,0)+IF(C160=3,M160*Habitat!$K$30,0)+IF(C160=4,M160*Habitat!$L$30,0)+IF(C160=5,M160*Habitat!$M$30,0)</f>
        <v>0</v>
      </c>
    </row>
    <row r="161" spans="1:19">
      <c r="A161">
        <f t="shared" si="59"/>
        <v>151</v>
      </c>
      <c r="C161" s="5">
        <v>3</v>
      </c>
      <c r="D161" s="56">
        <f>D160+Habitat!$C$16</f>
        <v>885</v>
      </c>
      <c r="E161" s="48">
        <f t="shared" si="49"/>
        <v>654</v>
      </c>
      <c r="F161" s="3">
        <f>Habitat!$D$13*D161</f>
        <v>24.78</v>
      </c>
      <c r="G161" s="3">
        <f t="shared" si="54"/>
        <v>0</v>
      </c>
      <c r="H161" s="3">
        <f t="shared" si="55"/>
        <v>0</v>
      </c>
      <c r="I161" s="3"/>
      <c r="J161" s="3"/>
      <c r="K161" s="3"/>
      <c r="L161" s="3">
        <f t="shared" si="56"/>
        <v>0</v>
      </c>
      <c r="M161">
        <f t="shared" si="51"/>
        <v>0</v>
      </c>
      <c r="N161" s="48">
        <f>IF(C161=1,M161*Habitat!$I$27,0)+IF(C161=2,M161*Habitat!$J$27,0)+IF(C161=3,M161*Habitat!$K$27,0)+IF(C161=4,M161*Habitat!$L$27,0)+IF(C161=5,M161*Habitat!$M$27,0)</f>
        <v>0</v>
      </c>
      <c r="O161" s="48">
        <f>IF(C161=1,M161*Habitat!$I$26,0)+IF(C161=2,M161*Habitat!$J$26,0)+IF(C161=3,M161*Habitat!$K$26,0)+IF(C161=4,M161*Habitat!$L$26,0)+IF(C161=5,M161*Habitat!$M$26,0)</f>
        <v>0</v>
      </c>
      <c r="P161" s="48">
        <f>IF(C161=1,M161*Habitat!$I$25,0)+IF(C161=2,M161*Habitat!$J$25,0)+IF(C161=3,M161*Habitat!$K$25,0)+IF(C161=4,M161*Habitat!$L$25,0)+IF(C161=5,M161*Habitat!$M$25,0)</f>
        <v>0</v>
      </c>
      <c r="Q161" s="48">
        <f>IF(C161=1,M161*Habitat!$I$28,0)+IF(C161=2,M161*Habitat!$J$28,0)+IF(C161=3,M161*Habitat!$K$28,0)+IF(C161=4,M161*Habitat!$L$28,0)+IF(C161=5,M161*Habitat!$M$28,0)</f>
        <v>0</v>
      </c>
      <c r="R161" s="48">
        <f>IF(C161=1,M161*Habitat!$I$29,0)+IF(C161=2,M161*Habitat!$J$29,0)+IF(C161=3,M161*Habitat!$K$29,0)+IF(C161=4,M161*Habitat!$L$29,0)+IF(C161=5,M161*Habitat!$M$29,0)</f>
        <v>0</v>
      </c>
      <c r="S161">
        <f>IF(C161=1,M161*Habitat!$I$30,0)+IF(C161=2,M161*Habitat!$J$30,0)+IF(C161=3,M161*Habitat!$K$30,0)+IF(C161=4,M161*Habitat!$L$30,0)+IF(C161=5,M161*Habitat!$M$30,0)</f>
        <v>0</v>
      </c>
    </row>
    <row r="162" spans="1:19">
      <c r="A162">
        <f t="shared" si="59"/>
        <v>152</v>
      </c>
      <c r="C162" s="5">
        <v>3</v>
      </c>
      <c r="D162" s="56">
        <f>D161+Habitat!$C$16</f>
        <v>890</v>
      </c>
      <c r="E162" s="48">
        <f t="shared" si="49"/>
        <v>659</v>
      </c>
      <c r="F162" s="3">
        <f>Habitat!$D$13*D162</f>
        <v>24.92</v>
      </c>
      <c r="G162" s="3">
        <f t="shared" si="54"/>
        <v>0</v>
      </c>
      <c r="H162" s="3">
        <f t="shared" si="55"/>
        <v>0</v>
      </c>
      <c r="I162" s="3"/>
      <c r="J162" s="3"/>
      <c r="K162" s="3"/>
      <c r="L162" s="3">
        <f t="shared" si="56"/>
        <v>0</v>
      </c>
      <c r="M162">
        <f t="shared" si="51"/>
        <v>0</v>
      </c>
      <c r="N162" s="48">
        <f>IF(C162=1,M162*Habitat!$I$27,0)+IF(C162=2,M162*Habitat!$J$27,0)+IF(C162=3,M162*Habitat!$K$27,0)+IF(C162=4,M162*Habitat!$L$27,0)+IF(C162=5,M162*Habitat!$M$27,0)</f>
        <v>0</v>
      </c>
      <c r="O162" s="48">
        <f>IF(C162=1,M162*Habitat!$I$26,0)+IF(C162=2,M162*Habitat!$J$26,0)+IF(C162=3,M162*Habitat!$K$26,0)+IF(C162=4,M162*Habitat!$L$26,0)+IF(C162=5,M162*Habitat!$M$26,0)</f>
        <v>0</v>
      </c>
      <c r="P162" s="48">
        <f>IF(C162=1,M162*Habitat!$I$25,0)+IF(C162=2,M162*Habitat!$J$25,0)+IF(C162=3,M162*Habitat!$K$25,0)+IF(C162=4,M162*Habitat!$L$25,0)+IF(C162=5,M162*Habitat!$M$25,0)</f>
        <v>0</v>
      </c>
      <c r="Q162" s="48">
        <f>IF(C162=1,M162*Habitat!$I$28,0)+IF(C162=2,M162*Habitat!$J$28,0)+IF(C162=3,M162*Habitat!$K$28,0)+IF(C162=4,M162*Habitat!$L$28,0)+IF(C162=5,M162*Habitat!$M$28,0)</f>
        <v>0</v>
      </c>
      <c r="R162" s="48">
        <f>IF(C162=1,M162*Habitat!$I$29,0)+IF(C162=2,M162*Habitat!$J$29,0)+IF(C162=3,M162*Habitat!$K$29,0)+IF(C162=4,M162*Habitat!$L$29,0)+IF(C162=5,M162*Habitat!$M$29,0)</f>
        <v>0</v>
      </c>
      <c r="S162">
        <f>IF(C162=1,M162*Habitat!$I$30,0)+IF(C162=2,M162*Habitat!$J$30,0)+IF(C162=3,M162*Habitat!$K$30,0)+IF(C162=4,M162*Habitat!$L$30,0)+IF(C162=5,M162*Habitat!$M$30,0)</f>
        <v>0</v>
      </c>
    </row>
    <row r="163" spans="1:19">
      <c r="A163">
        <f t="shared" si="59"/>
        <v>153</v>
      </c>
      <c r="C163" s="5">
        <v>3</v>
      </c>
      <c r="D163" s="56">
        <f>D162+Habitat!$C$16</f>
        <v>895</v>
      </c>
      <c r="E163" s="48">
        <f t="shared" si="49"/>
        <v>664</v>
      </c>
      <c r="F163" s="3">
        <f>Habitat!$D$13*D163</f>
        <v>25.060000000000002</v>
      </c>
      <c r="G163" s="3">
        <f t="shared" ref="G163:G194" si="60">IF(H163&gt;0,F163/9.8,0)</f>
        <v>0</v>
      </c>
      <c r="H163" s="3">
        <f t="shared" si="55"/>
        <v>0</v>
      </c>
      <c r="I163" s="3"/>
      <c r="J163" s="3"/>
      <c r="K163" s="3"/>
      <c r="L163" s="3">
        <f t="shared" ref="L163:L194" si="61">IF(H163&gt;0,1,0)</f>
        <v>0</v>
      </c>
      <c r="M163">
        <f t="shared" ref="M163:M194" si="62">PI()*H163*H163</f>
        <v>0</v>
      </c>
      <c r="N163" s="48">
        <f>IF(C163=1,M163*Habitat!$I$27,0)+IF(C163=2,M163*Habitat!$J$27,0)+IF(C163=3,M163*Habitat!$K$27,0)+IF(C163=4,M163*Habitat!$L$27,0)+IF(C163=5,M163*Habitat!$M$27,0)</f>
        <v>0</v>
      </c>
      <c r="O163" s="48">
        <f>IF(C163=1,M163*Habitat!$I$26,0)+IF(C163=2,M163*Habitat!$J$26,0)+IF(C163=3,M163*Habitat!$K$26,0)+IF(C163=4,M163*Habitat!$L$26,0)+IF(C163=5,M163*Habitat!$M$26,0)</f>
        <v>0</v>
      </c>
      <c r="P163" s="48">
        <f>IF(C163=1,M163*Habitat!$I$25,0)+IF(C163=2,M163*Habitat!$J$25,0)+IF(C163=3,M163*Habitat!$K$25,0)+IF(C163=4,M163*Habitat!$L$25,0)+IF(C163=5,M163*Habitat!$M$25,0)</f>
        <v>0</v>
      </c>
      <c r="Q163" s="48">
        <f>IF(C163=1,M163*Habitat!$I$28,0)+IF(C163=2,M163*Habitat!$J$28,0)+IF(C163=3,M163*Habitat!$K$28,0)+IF(C163=4,M163*Habitat!$L$28,0)+IF(C163=5,M163*Habitat!$M$28,0)</f>
        <v>0</v>
      </c>
      <c r="R163" s="48">
        <f>IF(C163=1,M163*Habitat!$I$29,0)+IF(C163=2,M163*Habitat!$J$29,0)+IF(C163=3,M163*Habitat!$K$29,0)+IF(C163=4,M163*Habitat!$L$29,0)+IF(C163=5,M163*Habitat!$M$29,0)</f>
        <v>0</v>
      </c>
      <c r="S163">
        <f>IF(C163=1,M163*Habitat!$I$30,0)+IF(C163=2,M163*Habitat!$J$30,0)+IF(C163=3,M163*Habitat!$K$30,0)+IF(C163=4,M163*Habitat!$L$30,0)+IF(C163=5,M163*Habitat!$M$30,0)</f>
        <v>0</v>
      </c>
    </row>
    <row r="164" spans="1:19">
      <c r="A164">
        <f t="shared" si="59"/>
        <v>154</v>
      </c>
      <c r="C164" s="5">
        <v>3</v>
      </c>
      <c r="D164" s="56">
        <f>D163+Habitat!$C$16</f>
        <v>900</v>
      </c>
      <c r="E164" s="48">
        <f t="shared" si="49"/>
        <v>669</v>
      </c>
      <c r="F164" s="3">
        <f>Habitat!$D$13*D164</f>
        <v>25.2</v>
      </c>
      <c r="G164" s="3">
        <f t="shared" si="60"/>
        <v>0</v>
      </c>
      <c r="H164" s="3">
        <f t="shared" si="55"/>
        <v>0</v>
      </c>
      <c r="I164" s="3"/>
      <c r="J164" s="3"/>
      <c r="K164" s="3"/>
      <c r="L164" s="3">
        <f t="shared" si="61"/>
        <v>0</v>
      </c>
      <c r="M164">
        <f t="shared" si="62"/>
        <v>0</v>
      </c>
      <c r="N164" s="48">
        <f>IF(C164=1,M164*Habitat!$I$27,0)+IF(C164=2,M164*Habitat!$J$27,0)+IF(C164=3,M164*Habitat!$K$27,0)+IF(C164=4,M164*Habitat!$L$27,0)+IF(C164=5,M164*Habitat!$M$27,0)</f>
        <v>0</v>
      </c>
      <c r="O164" s="48">
        <f>IF(C164=1,M164*Habitat!$I$26,0)+IF(C164=2,M164*Habitat!$J$26,0)+IF(C164=3,M164*Habitat!$K$26,0)+IF(C164=4,M164*Habitat!$L$26,0)+IF(C164=5,M164*Habitat!$M$26,0)</f>
        <v>0</v>
      </c>
      <c r="P164" s="48">
        <f>IF(C164=1,M164*Habitat!$I$25,0)+IF(C164=2,M164*Habitat!$J$25,0)+IF(C164=3,M164*Habitat!$K$25,0)+IF(C164=4,M164*Habitat!$L$25,0)+IF(C164=5,M164*Habitat!$M$25,0)</f>
        <v>0</v>
      </c>
      <c r="Q164" s="48">
        <f>IF(C164=1,M164*Habitat!$I$28,0)+IF(C164=2,M164*Habitat!$J$28,0)+IF(C164=3,M164*Habitat!$K$28,0)+IF(C164=4,M164*Habitat!$L$28,0)+IF(C164=5,M164*Habitat!$M$28,0)</f>
        <v>0</v>
      </c>
      <c r="R164" s="48">
        <f>IF(C164=1,M164*Habitat!$I$29,0)+IF(C164=2,M164*Habitat!$J$29,0)+IF(C164=3,M164*Habitat!$K$29,0)+IF(C164=4,M164*Habitat!$L$29,0)+IF(C164=5,M164*Habitat!$M$29,0)</f>
        <v>0</v>
      </c>
      <c r="S164">
        <f>IF(C164=1,M164*Habitat!$I$30,0)+IF(C164=2,M164*Habitat!$J$30,0)+IF(C164=3,M164*Habitat!$K$30,0)+IF(C164=4,M164*Habitat!$L$30,0)+IF(C164=5,M164*Habitat!$M$30,0)</f>
        <v>0</v>
      </c>
    </row>
    <row r="165" spans="1:19">
      <c r="A165">
        <f t="shared" si="59"/>
        <v>155</v>
      </c>
      <c r="C165" s="5">
        <v>3</v>
      </c>
      <c r="D165" s="56">
        <f>D164+Habitat!$C$16</f>
        <v>905</v>
      </c>
      <c r="E165" s="48">
        <f t="shared" si="49"/>
        <v>674</v>
      </c>
      <c r="F165" s="3">
        <f>Habitat!$D$13*D165</f>
        <v>25.34</v>
      </c>
      <c r="G165" s="3">
        <f t="shared" si="60"/>
        <v>0</v>
      </c>
      <c r="H165" s="3">
        <f t="shared" si="55"/>
        <v>0</v>
      </c>
      <c r="I165" s="3"/>
      <c r="J165" s="3"/>
      <c r="K165" s="3"/>
      <c r="L165" s="3">
        <f t="shared" si="61"/>
        <v>0</v>
      </c>
      <c r="M165">
        <f t="shared" si="62"/>
        <v>0</v>
      </c>
      <c r="N165" s="48">
        <f>IF(C165=1,M165*Habitat!$I$27,0)+IF(C165=2,M165*Habitat!$J$27,0)+IF(C165=3,M165*Habitat!$K$27,0)+IF(C165=4,M165*Habitat!$L$27,0)+IF(C165=5,M165*Habitat!$M$27,0)</f>
        <v>0</v>
      </c>
      <c r="O165" s="48">
        <f>IF(C165=1,M165*Habitat!$I$26,0)+IF(C165=2,M165*Habitat!$J$26,0)+IF(C165=3,M165*Habitat!$K$26,0)+IF(C165=4,M165*Habitat!$L$26,0)+IF(C165=5,M165*Habitat!$M$26,0)</f>
        <v>0</v>
      </c>
      <c r="P165" s="48">
        <f>IF(C165=1,M165*Habitat!$I$25,0)+IF(C165=2,M165*Habitat!$J$25,0)+IF(C165=3,M165*Habitat!$K$25,0)+IF(C165=4,M165*Habitat!$L$25,0)+IF(C165=5,M165*Habitat!$M$25,0)</f>
        <v>0</v>
      </c>
      <c r="Q165" s="48">
        <f>IF(C165=1,M165*Habitat!$I$28,0)+IF(C165=2,M165*Habitat!$J$28,0)+IF(C165=3,M165*Habitat!$K$28,0)+IF(C165=4,M165*Habitat!$L$28,0)+IF(C165=5,M165*Habitat!$M$28,0)</f>
        <v>0</v>
      </c>
      <c r="R165" s="48">
        <f>IF(C165=1,M165*Habitat!$I$29,0)+IF(C165=2,M165*Habitat!$J$29,0)+IF(C165=3,M165*Habitat!$K$29,0)+IF(C165=4,M165*Habitat!$L$29,0)+IF(C165=5,M165*Habitat!$M$29,0)</f>
        <v>0</v>
      </c>
      <c r="S165">
        <f>IF(C165=1,M165*Habitat!$I$30,0)+IF(C165=2,M165*Habitat!$J$30,0)+IF(C165=3,M165*Habitat!$K$30,0)+IF(C165=4,M165*Habitat!$L$30,0)+IF(C165=5,M165*Habitat!$M$30,0)</f>
        <v>0</v>
      </c>
    </row>
    <row r="166" spans="1:19">
      <c r="A166">
        <f t="shared" si="59"/>
        <v>156</v>
      </c>
      <c r="C166" s="5">
        <v>3</v>
      </c>
      <c r="D166" s="56">
        <f>D165+Habitat!$C$16</f>
        <v>910</v>
      </c>
      <c r="E166" s="48">
        <f t="shared" si="49"/>
        <v>679</v>
      </c>
      <c r="F166" s="3">
        <f>Habitat!$D$13*D166</f>
        <v>25.48</v>
      </c>
      <c r="G166" s="3">
        <f t="shared" si="60"/>
        <v>0</v>
      </c>
      <c r="H166" s="3">
        <f t="shared" si="55"/>
        <v>0</v>
      </c>
      <c r="I166" s="3"/>
      <c r="J166" s="3"/>
      <c r="K166" s="3"/>
      <c r="L166" s="3">
        <f t="shared" si="61"/>
        <v>0</v>
      </c>
      <c r="M166">
        <f t="shared" si="62"/>
        <v>0</v>
      </c>
      <c r="N166" s="48">
        <f>IF(C166=1,M166*Habitat!$I$27,0)+IF(C166=2,M166*Habitat!$J$27,0)+IF(C166=3,M166*Habitat!$K$27,0)+IF(C166=4,M166*Habitat!$L$27,0)+IF(C166=5,M166*Habitat!$M$27,0)</f>
        <v>0</v>
      </c>
      <c r="O166" s="48">
        <f>IF(C166=1,M166*Habitat!$I$26,0)+IF(C166=2,M166*Habitat!$J$26,0)+IF(C166=3,M166*Habitat!$K$26,0)+IF(C166=4,M166*Habitat!$L$26,0)+IF(C166=5,M166*Habitat!$M$26,0)</f>
        <v>0</v>
      </c>
      <c r="P166" s="48">
        <f>IF(C166=1,M166*Habitat!$I$25,0)+IF(C166=2,M166*Habitat!$J$25,0)+IF(C166=3,M166*Habitat!$K$25,0)+IF(C166=4,M166*Habitat!$L$25,0)+IF(C166=5,M166*Habitat!$M$25,0)</f>
        <v>0</v>
      </c>
      <c r="Q166" s="48">
        <f>IF(C166=1,M166*Habitat!$I$28,0)+IF(C166=2,M166*Habitat!$J$28,0)+IF(C166=3,M166*Habitat!$K$28,0)+IF(C166=4,M166*Habitat!$L$28,0)+IF(C166=5,M166*Habitat!$M$28,0)</f>
        <v>0</v>
      </c>
      <c r="R166" s="48">
        <f>IF(C166=1,M166*Habitat!$I$29,0)+IF(C166=2,M166*Habitat!$J$29,0)+IF(C166=3,M166*Habitat!$K$29,0)+IF(C166=4,M166*Habitat!$L$29,0)+IF(C166=5,M166*Habitat!$M$29,0)</f>
        <v>0</v>
      </c>
      <c r="S166">
        <f>IF(C166=1,M166*Habitat!$I$30,0)+IF(C166=2,M166*Habitat!$J$30,0)+IF(C166=3,M166*Habitat!$K$30,0)+IF(C166=4,M166*Habitat!$L$30,0)+IF(C166=5,M166*Habitat!$M$30,0)</f>
        <v>0</v>
      </c>
    </row>
    <row r="167" spans="1:19">
      <c r="A167">
        <f t="shared" si="59"/>
        <v>157</v>
      </c>
      <c r="C167" s="5">
        <v>3</v>
      </c>
      <c r="D167" s="56">
        <f>D166+Habitat!$C$16</f>
        <v>915</v>
      </c>
      <c r="E167" s="48">
        <f t="shared" si="49"/>
        <v>684</v>
      </c>
      <c r="F167" s="3">
        <f>Habitat!$D$13*D167</f>
        <v>25.62</v>
      </c>
      <c r="G167" s="3">
        <f t="shared" si="60"/>
        <v>0</v>
      </c>
      <c r="H167" s="3">
        <f t="shared" si="55"/>
        <v>0</v>
      </c>
      <c r="I167" s="3"/>
      <c r="J167" s="3"/>
      <c r="K167" s="3"/>
      <c r="L167" s="3">
        <f t="shared" si="61"/>
        <v>0</v>
      </c>
      <c r="M167">
        <f t="shared" si="62"/>
        <v>0</v>
      </c>
      <c r="N167" s="48">
        <f>IF(C167=1,M167*Habitat!$I$27,0)+IF(C167=2,M167*Habitat!$J$27,0)+IF(C167=3,M167*Habitat!$K$27,0)+IF(C167=4,M167*Habitat!$L$27,0)+IF(C167=5,M167*Habitat!$M$27,0)</f>
        <v>0</v>
      </c>
      <c r="O167" s="48">
        <f>IF(C167=1,M167*Habitat!$I$26,0)+IF(C167=2,M167*Habitat!$J$26,0)+IF(C167=3,M167*Habitat!$K$26,0)+IF(C167=4,M167*Habitat!$L$26,0)+IF(C167=5,M167*Habitat!$M$26,0)</f>
        <v>0</v>
      </c>
      <c r="P167" s="48">
        <f>IF(C167=1,M167*Habitat!$I$25,0)+IF(C167=2,M167*Habitat!$J$25,0)+IF(C167=3,M167*Habitat!$K$25,0)+IF(C167=4,M167*Habitat!$L$25,0)+IF(C167=5,M167*Habitat!$M$25,0)</f>
        <v>0</v>
      </c>
      <c r="Q167" s="48">
        <f>IF(C167=1,M167*Habitat!$I$28,0)+IF(C167=2,M167*Habitat!$J$28,0)+IF(C167=3,M167*Habitat!$K$28,0)+IF(C167=4,M167*Habitat!$L$28,0)+IF(C167=5,M167*Habitat!$M$28,0)</f>
        <v>0</v>
      </c>
      <c r="R167" s="48">
        <f>IF(C167=1,M167*Habitat!$I$29,0)+IF(C167=2,M167*Habitat!$J$29,0)+IF(C167=3,M167*Habitat!$K$29,0)+IF(C167=4,M167*Habitat!$L$29,0)+IF(C167=5,M167*Habitat!$M$29,0)</f>
        <v>0</v>
      </c>
      <c r="S167">
        <f>IF(C167=1,M167*Habitat!$I$30,0)+IF(C167=2,M167*Habitat!$J$30,0)+IF(C167=3,M167*Habitat!$K$30,0)+IF(C167=4,M167*Habitat!$L$30,0)+IF(C167=5,M167*Habitat!$M$30,0)</f>
        <v>0</v>
      </c>
    </row>
    <row r="168" spans="1:19">
      <c r="A168">
        <f t="shared" si="59"/>
        <v>158</v>
      </c>
      <c r="C168" s="5">
        <v>3</v>
      </c>
      <c r="D168" s="56">
        <f>D167+Habitat!$C$16</f>
        <v>920</v>
      </c>
      <c r="E168" s="48">
        <f t="shared" si="49"/>
        <v>689</v>
      </c>
      <c r="F168" s="3">
        <f>Habitat!$D$13*D168</f>
        <v>25.76</v>
      </c>
      <c r="G168" s="3">
        <f t="shared" si="60"/>
        <v>0</v>
      </c>
      <c r="H168" s="3">
        <f t="shared" si="55"/>
        <v>0</v>
      </c>
      <c r="I168" s="3"/>
      <c r="J168" s="3"/>
      <c r="K168" s="3"/>
      <c r="L168" s="3">
        <f t="shared" si="61"/>
        <v>0</v>
      </c>
      <c r="M168">
        <f t="shared" si="62"/>
        <v>0</v>
      </c>
      <c r="N168" s="48">
        <f>IF(C168=1,M168*Habitat!$I$27,0)+IF(C168=2,M168*Habitat!$J$27,0)+IF(C168=3,M168*Habitat!$K$27,0)+IF(C168=4,M168*Habitat!$L$27,0)+IF(C168=5,M168*Habitat!$M$27,0)</f>
        <v>0</v>
      </c>
      <c r="O168" s="48">
        <f>IF(C168=1,M168*Habitat!$I$26,0)+IF(C168=2,M168*Habitat!$J$26,0)+IF(C168=3,M168*Habitat!$K$26,0)+IF(C168=4,M168*Habitat!$L$26,0)+IF(C168=5,M168*Habitat!$M$26,0)</f>
        <v>0</v>
      </c>
      <c r="P168" s="48">
        <f>IF(C168=1,M168*Habitat!$I$25,0)+IF(C168=2,M168*Habitat!$J$25,0)+IF(C168=3,M168*Habitat!$K$25,0)+IF(C168=4,M168*Habitat!$L$25,0)+IF(C168=5,M168*Habitat!$M$25,0)</f>
        <v>0</v>
      </c>
      <c r="Q168" s="48">
        <f>IF(C168=1,M168*Habitat!$I$28,0)+IF(C168=2,M168*Habitat!$J$28,0)+IF(C168=3,M168*Habitat!$K$28,0)+IF(C168=4,M168*Habitat!$L$28,0)+IF(C168=5,M168*Habitat!$M$28,0)</f>
        <v>0</v>
      </c>
      <c r="R168" s="48">
        <f>IF(C168=1,M168*Habitat!$I$29,0)+IF(C168=2,M168*Habitat!$J$29,0)+IF(C168=3,M168*Habitat!$K$29,0)+IF(C168=4,M168*Habitat!$L$29,0)+IF(C168=5,M168*Habitat!$M$29,0)</f>
        <v>0</v>
      </c>
      <c r="S168">
        <f>IF(C168=1,M168*Habitat!$I$30,0)+IF(C168=2,M168*Habitat!$J$30,0)+IF(C168=3,M168*Habitat!$K$30,0)+IF(C168=4,M168*Habitat!$L$30,0)+IF(C168=5,M168*Habitat!$M$30,0)</f>
        <v>0</v>
      </c>
    </row>
    <row r="169" spans="1:19">
      <c r="A169">
        <f t="shared" si="59"/>
        <v>159</v>
      </c>
      <c r="C169" s="5">
        <v>3</v>
      </c>
      <c r="D169" s="56">
        <f>D168+Habitat!$C$16</f>
        <v>925</v>
      </c>
      <c r="E169" s="48">
        <f t="shared" si="49"/>
        <v>694</v>
      </c>
      <c r="F169" s="3">
        <f>Habitat!$D$13*D169</f>
        <v>25.900000000000002</v>
      </c>
      <c r="G169" s="3">
        <f t="shared" si="60"/>
        <v>0</v>
      </c>
      <c r="H169" s="3">
        <f t="shared" si="55"/>
        <v>0</v>
      </c>
      <c r="I169" s="3"/>
      <c r="J169" s="3"/>
      <c r="K169" s="3"/>
      <c r="L169" s="3">
        <f t="shared" si="61"/>
        <v>0</v>
      </c>
      <c r="M169">
        <f t="shared" si="62"/>
        <v>0</v>
      </c>
      <c r="N169" s="48">
        <f>IF(C169=1,M169*Habitat!$I$27,0)+IF(C169=2,M169*Habitat!$J$27,0)+IF(C169=3,M169*Habitat!$K$27,0)+IF(C169=4,M169*Habitat!$L$27,0)+IF(C169=5,M169*Habitat!$M$27,0)</f>
        <v>0</v>
      </c>
      <c r="O169" s="48">
        <f>IF(C169=1,M169*Habitat!$I$26,0)+IF(C169=2,M169*Habitat!$J$26,0)+IF(C169=3,M169*Habitat!$K$26,0)+IF(C169=4,M169*Habitat!$L$26,0)+IF(C169=5,M169*Habitat!$M$26,0)</f>
        <v>0</v>
      </c>
      <c r="P169" s="48">
        <f>IF(C169=1,M169*Habitat!$I$25,0)+IF(C169=2,M169*Habitat!$J$25,0)+IF(C169=3,M169*Habitat!$K$25,0)+IF(C169=4,M169*Habitat!$L$25,0)+IF(C169=5,M169*Habitat!$M$25,0)</f>
        <v>0</v>
      </c>
      <c r="Q169" s="48">
        <f>IF(C169=1,M169*Habitat!$I$28,0)+IF(C169=2,M169*Habitat!$J$28,0)+IF(C169=3,M169*Habitat!$K$28,0)+IF(C169=4,M169*Habitat!$L$28,0)+IF(C169=5,M169*Habitat!$M$28,0)</f>
        <v>0</v>
      </c>
      <c r="R169" s="48">
        <f>IF(C169=1,M169*Habitat!$I$29,0)+IF(C169=2,M169*Habitat!$J$29,0)+IF(C169=3,M169*Habitat!$K$29,0)+IF(C169=4,M169*Habitat!$L$29,0)+IF(C169=5,M169*Habitat!$M$29,0)</f>
        <v>0</v>
      </c>
      <c r="S169">
        <f>IF(C169=1,M169*Habitat!$I$30,0)+IF(C169=2,M169*Habitat!$J$30,0)+IF(C169=3,M169*Habitat!$K$30,0)+IF(C169=4,M169*Habitat!$L$30,0)+IF(C169=5,M169*Habitat!$M$30,0)</f>
        <v>0</v>
      </c>
    </row>
    <row r="170" spans="1:19">
      <c r="A170">
        <f t="shared" si="59"/>
        <v>160</v>
      </c>
      <c r="C170" s="5">
        <v>3</v>
      </c>
      <c r="D170" s="56">
        <f>D169+Habitat!$C$16</f>
        <v>930</v>
      </c>
      <c r="E170" s="48">
        <f t="shared" si="49"/>
        <v>699</v>
      </c>
      <c r="F170" s="3">
        <f>Habitat!$D$13*D170</f>
        <v>26.04</v>
      </c>
      <c r="G170" s="3">
        <f t="shared" si="60"/>
        <v>0</v>
      </c>
      <c r="H170" s="3">
        <f t="shared" si="55"/>
        <v>0</v>
      </c>
      <c r="I170" s="3"/>
      <c r="J170" s="3"/>
      <c r="K170" s="3"/>
      <c r="L170" s="3">
        <f t="shared" si="61"/>
        <v>0</v>
      </c>
      <c r="M170">
        <f t="shared" si="62"/>
        <v>0</v>
      </c>
      <c r="N170" s="48">
        <f>IF(C170=1,M170*Habitat!$I$27,0)+IF(C170=2,M170*Habitat!$J$27,0)+IF(C170=3,M170*Habitat!$K$27,0)+IF(C170=4,M170*Habitat!$L$27,0)+IF(C170=5,M170*Habitat!$M$27,0)</f>
        <v>0</v>
      </c>
      <c r="O170" s="48">
        <f>IF(C170=1,M170*Habitat!$I$26,0)+IF(C170=2,M170*Habitat!$J$26,0)+IF(C170=3,M170*Habitat!$K$26,0)+IF(C170=4,M170*Habitat!$L$26,0)+IF(C170=5,M170*Habitat!$M$26,0)</f>
        <v>0</v>
      </c>
      <c r="P170" s="48">
        <f>IF(C170=1,M170*Habitat!$I$25,0)+IF(C170=2,M170*Habitat!$J$25,0)+IF(C170=3,M170*Habitat!$K$25,0)+IF(C170=4,M170*Habitat!$L$25,0)+IF(C170=5,M170*Habitat!$M$25,0)</f>
        <v>0</v>
      </c>
      <c r="Q170" s="48">
        <f>IF(C170=1,M170*Habitat!$I$28,0)+IF(C170=2,M170*Habitat!$J$28,0)+IF(C170=3,M170*Habitat!$K$28,0)+IF(C170=4,M170*Habitat!$L$28,0)+IF(C170=5,M170*Habitat!$M$28,0)</f>
        <v>0</v>
      </c>
      <c r="R170" s="48">
        <f>IF(C170=1,M170*Habitat!$I$29,0)+IF(C170=2,M170*Habitat!$J$29,0)+IF(C170=3,M170*Habitat!$K$29,0)+IF(C170=4,M170*Habitat!$L$29,0)+IF(C170=5,M170*Habitat!$M$29,0)</f>
        <v>0</v>
      </c>
      <c r="S170">
        <f>IF(C170=1,M170*Habitat!$I$30,0)+IF(C170=2,M170*Habitat!$J$30,0)+IF(C170=3,M170*Habitat!$K$30,0)+IF(C170=4,M170*Habitat!$L$30,0)+IF(C170=5,M170*Habitat!$M$30,0)</f>
        <v>0</v>
      </c>
    </row>
    <row r="171" spans="1:19">
      <c r="A171">
        <f t="shared" si="59"/>
        <v>161</v>
      </c>
      <c r="C171" s="5">
        <v>3</v>
      </c>
      <c r="D171" s="56">
        <f>D170+Habitat!$C$16</f>
        <v>935</v>
      </c>
      <c r="E171" s="48">
        <f t="shared" si="49"/>
        <v>704</v>
      </c>
      <c r="F171" s="3">
        <f>Habitat!$D$13*D171</f>
        <v>26.18</v>
      </c>
      <c r="G171" s="3">
        <f t="shared" si="60"/>
        <v>0</v>
      </c>
      <c r="H171" s="3">
        <f t="shared" si="55"/>
        <v>0</v>
      </c>
      <c r="I171" s="3"/>
      <c r="J171" s="3"/>
      <c r="K171" s="3"/>
      <c r="L171" s="3">
        <f t="shared" si="61"/>
        <v>0</v>
      </c>
      <c r="M171">
        <f t="shared" si="62"/>
        <v>0</v>
      </c>
      <c r="N171" s="48">
        <f>IF(C171=1,M171*Habitat!$I$27,0)+IF(C171=2,M171*Habitat!$J$27,0)+IF(C171=3,M171*Habitat!$K$27,0)+IF(C171=4,M171*Habitat!$L$27,0)+IF(C171=5,M171*Habitat!$M$27,0)</f>
        <v>0</v>
      </c>
      <c r="O171" s="48">
        <f>IF(C171=1,M171*Habitat!$I$26,0)+IF(C171=2,M171*Habitat!$J$26,0)+IF(C171=3,M171*Habitat!$K$26,0)+IF(C171=4,M171*Habitat!$L$26,0)+IF(C171=5,M171*Habitat!$M$26,0)</f>
        <v>0</v>
      </c>
      <c r="P171" s="48">
        <f>IF(C171=1,M171*Habitat!$I$25,0)+IF(C171=2,M171*Habitat!$J$25,0)+IF(C171=3,M171*Habitat!$K$25,0)+IF(C171=4,M171*Habitat!$L$25,0)+IF(C171=5,M171*Habitat!$M$25,0)</f>
        <v>0</v>
      </c>
      <c r="Q171" s="48">
        <f>IF(C171=1,M171*Habitat!$I$28,0)+IF(C171=2,M171*Habitat!$J$28,0)+IF(C171=3,M171*Habitat!$K$28,0)+IF(C171=4,M171*Habitat!$L$28,0)+IF(C171=5,M171*Habitat!$M$28,0)</f>
        <v>0</v>
      </c>
      <c r="R171" s="48">
        <f>IF(C171=1,M171*Habitat!$I$29,0)+IF(C171=2,M171*Habitat!$J$29,0)+IF(C171=3,M171*Habitat!$K$29,0)+IF(C171=4,M171*Habitat!$L$29,0)+IF(C171=5,M171*Habitat!$M$29,0)</f>
        <v>0</v>
      </c>
      <c r="S171">
        <f>IF(C171=1,M171*Habitat!$I$30,0)+IF(C171=2,M171*Habitat!$J$30,0)+IF(C171=3,M171*Habitat!$K$30,0)+IF(C171=4,M171*Habitat!$L$30,0)+IF(C171=5,M171*Habitat!$M$30,0)</f>
        <v>0</v>
      </c>
    </row>
    <row r="172" spans="1:19">
      <c r="A172">
        <f t="shared" si="59"/>
        <v>162</v>
      </c>
      <c r="C172" s="5">
        <v>3</v>
      </c>
      <c r="D172" s="56">
        <f>D171+Habitat!$C$16</f>
        <v>940</v>
      </c>
      <c r="E172" s="48">
        <f t="shared" si="49"/>
        <v>709</v>
      </c>
      <c r="F172" s="3">
        <f>Habitat!$D$13*D172</f>
        <v>26.32</v>
      </c>
      <c r="G172" s="3">
        <f t="shared" si="60"/>
        <v>0</v>
      </c>
      <c r="H172" s="3">
        <f t="shared" si="55"/>
        <v>0</v>
      </c>
      <c r="I172" s="3"/>
      <c r="J172" s="3"/>
      <c r="K172" s="3"/>
      <c r="L172" s="3">
        <f t="shared" si="61"/>
        <v>0</v>
      </c>
      <c r="M172">
        <f t="shared" si="62"/>
        <v>0</v>
      </c>
      <c r="N172" s="48">
        <f>IF(C172=1,M172*Habitat!$I$27,0)+IF(C172=2,M172*Habitat!$J$27,0)+IF(C172=3,M172*Habitat!$K$27,0)+IF(C172=4,M172*Habitat!$L$27,0)+IF(C172=5,M172*Habitat!$M$27,0)</f>
        <v>0</v>
      </c>
      <c r="O172" s="48">
        <f>IF(C172=1,M172*Habitat!$I$26,0)+IF(C172=2,M172*Habitat!$J$26,0)+IF(C172=3,M172*Habitat!$K$26,0)+IF(C172=4,M172*Habitat!$L$26,0)+IF(C172=5,M172*Habitat!$M$26,0)</f>
        <v>0</v>
      </c>
      <c r="P172" s="48">
        <f>IF(C172=1,M172*Habitat!$I$25,0)+IF(C172=2,M172*Habitat!$J$25,0)+IF(C172=3,M172*Habitat!$K$25,0)+IF(C172=4,M172*Habitat!$L$25,0)+IF(C172=5,M172*Habitat!$M$25,0)</f>
        <v>0</v>
      </c>
      <c r="Q172" s="48">
        <f>IF(C172=1,M172*Habitat!$I$28,0)+IF(C172=2,M172*Habitat!$J$28,0)+IF(C172=3,M172*Habitat!$K$28,0)+IF(C172=4,M172*Habitat!$L$28,0)+IF(C172=5,M172*Habitat!$M$28,0)</f>
        <v>0</v>
      </c>
      <c r="R172" s="48">
        <f>IF(C172=1,M172*Habitat!$I$29,0)+IF(C172=2,M172*Habitat!$J$29,0)+IF(C172=3,M172*Habitat!$K$29,0)+IF(C172=4,M172*Habitat!$L$29,0)+IF(C172=5,M172*Habitat!$M$29,0)</f>
        <v>0</v>
      </c>
      <c r="S172">
        <f>IF(C172=1,M172*Habitat!$I$30,0)+IF(C172=2,M172*Habitat!$J$30,0)+IF(C172=3,M172*Habitat!$K$30,0)+IF(C172=4,M172*Habitat!$L$30,0)+IF(C172=5,M172*Habitat!$M$30,0)</f>
        <v>0</v>
      </c>
    </row>
    <row r="173" spans="1:19">
      <c r="A173">
        <f t="shared" si="59"/>
        <v>163</v>
      </c>
      <c r="C173" s="5">
        <v>3</v>
      </c>
      <c r="D173" s="56">
        <f>D172+Habitat!$C$16</f>
        <v>945</v>
      </c>
      <c r="E173" s="48">
        <f t="shared" si="49"/>
        <v>714</v>
      </c>
      <c r="F173" s="3">
        <f>Habitat!$D$13*D173</f>
        <v>26.46</v>
      </c>
      <c r="G173" s="3">
        <f t="shared" si="60"/>
        <v>0</v>
      </c>
      <c r="H173" s="3">
        <f t="shared" si="55"/>
        <v>0</v>
      </c>
      <c r="I173" s="3"/>
      <c r="J173" s="3"/>
      <c r="K173" s="3"/>
      <c r="L173" s="3">
        <f t="shared" si="61"/>
        <v>0</v>
      </c>
      <c r="M173">
        <f t="shared" si="62"/>
        <v>0</v>
      </c>
      <c r="N173" s="48">
        <f>IF(C173=1,M173*Habitat!$I$27,0)+IF(C173=2,M173*Habitat!$J$27,0)+IF(C173=3,M173*Habitat!$K$27,0)+IF(C173=4,M173*Habitat!$L$27,0)+IF(C173=5,M173*Habitat!$M$27,0)</f>
        <v>0</v>
      </c>
      <c r="O173" s="48">
        <f>IF(C173=1,M173*Habitat!$I$26,0)+IF(C173=2,M173*Habitat!$J$26,0)+IF(C173=3,M173*Habitat!$K$26,0)+IF(C173=4,M173*Habitat!$L$26,0)+IF(C173=5,M173*Habitat!$M$26,0)</f>
        <v>0</v>
      </c>
      <c r="P173" s="48">
        <f>IF(C173=1,M173*Habitat!$I$25,0)+IF(C173=2,M173*Habitat!$J$25,0)+IF(C173=3,M173*Habitat!$K$25,0)+IF(C173=4,M173*Habitat!$L$25,0)+IF(C173=5,M173*Habitat!$M$25,0)</f>
        <v>0</v>
      </c>
      <c r="Q173" s="48">
        <f>IF(C173=1,M173*Habitat!$I$28,0)+IF(C173=2,M173*Habitat!$J$28,0)+IF(C173=3,M173*Habitat!$K$28,0)+IF(C173=4,M173*Habitat!$L$28,0)+IF(C173=5,M173*Habitat!$M$28,0)</f>
        <v>0</v>
      </c>
      <c r="R173" s="48">
        <f>IF(C173=1,M173*Habitat!$I$29,0)+IF(C173=2,M173*Habitat!$J$29,0)+IF(C173=3,M173*Habitat!$K$29,0)+IF(C173=4,M173*Habitat!$L$29,0)+IF(C173=5,M173*Habitat!$M$29,0)</f>
        <v>0</v>
      </c>
      <c r="S173">
        <f>IF(C173=1,M173*Habitat!$I$30,0)+IF(C173=2,M173*Habitat!$J$30,0)+IF(C173=3,M173*Habitat!$K$30,0)+IF(C173=4,M173*Habitat!$L$30,0)+IF(C173=5,M173*Habitat!$M$30,0)</f>
        <v>0</v>
      </c>
    </row>
    <row r="174" spans="1:19">
      <c r="A174">
        <f t="shared" si="59"/>
        <v>164</v>
      </c>
      <c r="C174" s="5">
        <v>3</v>
      </c>
      <c r="D174" s="56">
        <f>D173+Habitat!$C$16</f>
        <v>950</v>
      </c>
      <c r="E174" s="48">
        <f t="shared" ref="E174:E212" si="63">IF(D174&lt;=$C$7,D173-$C$7,D174-$C$7)</f>
        <v>719</v>
      </c>
      <c r="F174" s="3">
        <f>Habitat!$D$13*D174</f>
        <v>26.6</v>
      </c>
      <c r="G174" s="3">
        <f t="shared" si="60"/>
        <v>0</v>
      </c>
      <c r="H174" s="3">
        <f t="shared" si="55"/>
        <v>0</v>
      </c>
      <c r="I174" s="3"/>
      <c r="J174" s="3"/>
      <c r="K174" s="3"/>
      <c r="L174" s="3">
        <f t="shared" si="61"/>
        <v>0</v>
      </c>
      <c r="M174">
        <f t="shared" si="62"/>
        <v>0</v>
      </c>
      <c r="N174" s="48">
        <f>IF(C174=1,M174*Habitat!$I$27,0)+IF(C174=2,M174*Habitat!$J$27,0)+IF(C174=3,M174*Habitat!$K$27,0)+IF(C174=4,M174*Habitat!$L$27,0)+IF(C174=5,M174*Habitat!$M$27,0)</f>
        <v>0</v>
      </c>
      <c r="O174" s="48">
        <f>IF(C174=1,M174*Habitat!$I$26,0)+IF(C174=2,M174*Habitat!$J$26,0)+IF(C174=3,M174*Habitat!$K$26,0)+IF(C174=4,M174*Habitat!$L$26,0)+IF(C174=5,M174*Habitat!$M$26,0)</f>
        <v>0</v>
      </c>
      <c r="P174" s="48">
        <f>IF(C174=1,M174*Habitat!$I$25,0)+IF(C174=2,M174*Habitat!$J$25,0)+IF(C174=3,M174*Habitat!$K$25,0)+IF(C174=4,M174*Habitat!$L$25,0)+IF(C174=5,M174*Habitat!$M$25,0)</f>
        <v>0</v>
      </c>
      <c r="Q174" s="48">
        <f>IF(C174=1,M174*Habitat!$I$28,0)+IF(C174=2,M174*Habitat!$J$28,0)+IF(C174=3,M174*Habitat!$K$28,0)+IF(C174=4,M174*Habitat!$L$28,0)+IF(C174=5,M174*Habitat!$M$28,0)</f>
        <v>0</v>
      </c>
      <c r="R174" s="48">
        <f>IF(C174=1,M174*Habitat!$I$29,0)+IF(C174=2,M174*Habitat!$J$29,0)+IF(C174=3,M174*Habitat!$K$29,0)+IF(C174=4,M174*Habitat!$L$29,0)+IF(C174=5,M174*Habitat!$M$29,0)</f>
        <v>0</v>
      </c>
      <c r="S174">
        <f>IF(C174=1,M174*Habitat!$I$30,0)+IF(C174=2,M174*Habitat!$J$30,0)+IF(C174=3,M174*Habitat!$K$30,0)+IF(C174=4,M174*Habitat!$L$30,0)+IF(C174=5,M174*Habitat!$M$30,0)</f>
        <v>0</v>
      </c>
    </row>
    <row r="175" spans="1:19">
      <c r="A175">
        <f t="shared" si="59"/>
        <v>165</v>
      </c>
      <c r="C175" s="5">
        <v>3</v>
      </c>
      <c r="D175" s="56">
        <f>D174+Habitat!$C$16</f>
        <v>955</v>
      </c>
      <c r="E175" s="48">
        <f t="shared" si="63"/>
        <v>724</v>
      </c>
      <c r="F175" s="3">
        <f>Habitat!$D$13*D175</f>
        <v>26.740000000000002</v>
      </c>
      <c r="G175" s="3">
        <f t="shared" si="60"/>
        <v>0</v>
      </c>
      <c r="H175" s="3">
        <f t="shared" si="55"/>
        <v>0</v>
      </c>
      <c r="I175" s="3"/>
      <c r="J175" s="3"/>
      <c r="K175" s="3"/>
      <c r="L175" s="3">
        <f t="shared" si="61"/>
        <v>0</v>
      </c>
      <c r="M175">
        <f t="shared" si="62"/>
        <v>0</v>
      </c>
      <c r="N175" s="48">
        <f>IF(C175=1,M175*Habitat!$I$27,0)+IF(C175=2,M175*Habitat!$J$27,0)+IF(C175=3,M175*Habitat!$K$27,0)+IF(C175=4,M175*Habitat!$L$27,0)+IF(C175=5,M175*Habitat!$M$27,0)</f>
        <v>0</v>
      </c>
      <c r="O175" s="48">
        <f>IF(C175=1,M175*Habitat!$I$26,0)+IF(C175=2,M175*Habitat!$J$26,0)+IF(C175=3,M175*Habitat!$K$26,0)+IF(C175=4,M175*Habitat!$L$26,0)+IF(C175=5,M175*Habitat!$M$26,0)</f>
        <v>0</v>
      </c>
      <c r="P175" s="48">
        <f>IF(C175=1,M175*Habitat!$I$25,0)+IF(C175=2,M175*Habitat!$J$25,0)+IF(C175=3,M175*Habitat!$K$25,0)+IF(C175=4,M175*Habitat!$L$25,0)+IF(C175=5,M175*Habitat!$M$25,0)</f>
        <v>0</v>
      </c>
      <c r="Q175" s="48">
        <f>IF(C175=1,M175*Habitat!$I$28,0)+IF(C175=2,M175*Habitat!$J$28,0)+IF(C175=3,M175*Habitat!$K$28,0)+IF(C175=4,M175*Habitat!$L$28,0)+IF(C175=5,M175*Habitat!$M$28,0)</f>
        <v>0</v>
      </c>
      <c r="R175" s="48">
        <f>IF(C175=1,M175*Habitat!$I$29,0)+IF(C175=2,M175*Habitat!$J$29,0)+IF(C175=3,M175*Habitat!$K$29,0)+IF(C175=4,M175*Habitat!$L$29,0)+IF(C175=5,M175*Habitat!$M$29,0)</f>
        <v>0</v>
      </c>
      <c r="S175">
        <f>IF(C175=1,M175*Habitat!$I$30,0)+IF(C175=2,M175*Habitat!$J$30,0)+IF(C175=3,M175*Habitat!$K$30,0)+IF(C175=4,M175*Habitat!$L$30,0)+IF(C175=5,M175*Habitat!$M$30,0)</f>
        <v>0</v>
      </c>
    </row>
    <row r="176" spans="1:19">
      <c r="A176">
        <f t="shared" si="59"/>
        <v>166</v>
      </c>
      <c r="C176" s="5">
        <v>3</v>
      </c>
      <c r="D176" s="56">
        <f>D175+Habitat!$C$16</f>
        <v>960</v>
      </c>
      <c r="E176" s="48">
        <f t="shared" si="63"/>
        <v>729</v>
      </c>
      <c r="F176" s="3">
        <f>Habitat!$D$13*D176</f>
        <v>26.88</v>
      </c>
      <c r="G176" s="3">
        <f t="shared" si="60"/>
        <v>0</v>
      </c>
      <c r="H176" s="3">
        <f t="shared" si="55"/>
        <v>0</v>
      </c>
      <c r="I176" s="3"/>
      <c r="J176" s="3"/>
      <c r="K176" s="3"/>
      <c r="L176" s="3">
        <f t="shared" si="61"/>
        <v>0</v>
      </c>
      <c r="M176">
        <f t="shared" si="62"/>
        <v>0</v>
      </c>
      <c r="N176" s="48">
        <f>IF(C176=1,M176*Habitat!$I$27,0)+IF(C176=2,M176*Habitat!$J$27,0)+IF(C176=3,M176*Habitat!$K$27,0)+IF(C176=4,M176*Habitat!$L$27,0)+IF(C176=5,M176*Habitat!$M$27,0)</f>
        <v>0</v>
      </c>
      <c r="O176" s="48">
        <f>IF(C176=1,M176*Habitat!$I$26,0)+IF(C176=2,M176*Habitat!$J$26,0)+IF(C176=3,M176*Habitat!$K$26,0)+IF(C176=4,M176*Habitat!$L$26,0)+IF(C176=5,M176*Habitat!$M$26,0)</f>
        <v>0</v>
      </c>
      <c r="P176" s="48">
        <f>IF(C176=1,M176*Habitat!$I$25,0)+IF(C176=2,M176*Habitat!$J$25,0)+IF(C176=3,M176*Habitat!$K$25,0)+IF(C176=4,M176*Habitat!$L$25,0)+IF(C176=5,M176*Habitat!$M$25,0)</f>
        <v>0</v>
      </c>
      <c r="Q176" s="48">
        <f>IF(C176=1,M176*Habitat!$I$28,0)+IF(C176=2,M176*Habitat!$J$28,0)+IF(C176=3,M176*Habitat!$K$28,0)+IF(C176=4,M176*Habitat!$L$28,0)+IF(C176=5,M176*Habitat!$M$28,0)</f>
        <v>0</v>
      </c>
      <c r="R176" s="48">
        <f>IF(C176=1,M176*Habitat!$I$29,0)+IF(C176=2,M176*Habitat!$J$29,0)+IF(C176=3,M176*Habitat!$K$29,0)+IF(C176=4,M176*Habitat!$L$29,0)+IF(C176=5,M176*Habitat!$M$29,0)</f>
        <v>0</v>
      </c>
      <c r="S176">
        <f>IF(C176=1,M176*Habitat!$I$30,0)+IF(C176=2,M176*Habitat!$J$30,0)+IF(C176=3,M176*Habitat!$K$30,0)+IF(C176=4,M176*Habitat!$L$30,0)+IF(C176=5,M176*Habitat!$M$30,0)</f>
        <v>0</v>
      </c>
    </row>
    <row r="177" spans="1:19">
      <c r="A177">
        <f t="shared" si="59"/>
        <v>167</v>
      </c>
      <c r="C177" s="5">
        <v>3</v>
      </c>
      <c r="D177" s="56">
        <f>D176+Habitat!$C$16</f>
        <v>965</v>
      </c>
      <c r="E177" s="48">
        <f t="shared" si="63"/>
        <v>734</v>
      </c>
      <c r="F177" s="3">
        <f>Habitat!$D$13*D177</f>
        <v>27.02</v>
      </c>
      <c r="G177" s="3">
        <f t="shared" si="60"/>
        <v>0</v>
      </c>
      <c r="H177" s="3">
        <f t="shared" si="55"/>
        <v>0</v>
      </c>
      <c r="I177" s="3"/>
      <c r="J177" s="3"/>
      <c r="K177" s="3"/>
      <c r="L177" s="3">
        <f t="shared" si="61"/>
        <v>0</v>
      </c>
      <c r="M177">
        <f t="shared" si="62"/>
        <v>0</v>
      </c>
      <c r="N177" s="48">
        <f>IF(C177=1,M177*Habitat!$I$27,0)+IF(C177=2,M177*Habitat!$J$27,0)+IF(C177=3,M177*Habitat!$K$27,0)+IF(C177=4,M177*Habitat!$L$27,0)+IF(C177=5,M177*Habitat!$M$27,0)</f>
        <v>0</v>
      </c>
      <c r="O177" s="48">
        <f>IF(C177=1,M177*Habitat!$I$26,0)+IF(C177=2,M177*Habitat!$J$26,0)+IF(C177=3,M177*Habitat!$K$26,0)+IF(C177=4,M177*Habitat!$L$26,0)+IF(C177=5,M177*Habitat!$M$26,0)</f>
        <v>0</v>
      </c>
      <c r="P177" s="48">
        <f>IF(C177=1,M177*Habitat!$I$25,0)+IF(C177=2,M177*Habitat!$J$25,0)+IF(C177=3,M177*Habitat!$K$25,0)+IF(C177=4,M177*Habitat!$L$25,0)+IF(C177=5,M177*Habitat!$M$25,0)</f>
        <v>0</v>
      </c>
      <c r="Q177" s="48">
        <f>IF(C177=1,M177*Habitat!$I$28,0)+IF(C177=2,M177*Habitat!$J$28,0)+IF(C177=3,M177*Habitat!$K$28,0)+IF(C177=4,M177*Habitat!$L$28,0)+IF(C177=5,M177*Habitat!$M$28,0)</f>
        <v>0</v>
      </c>
      <c r="R177" s="48">
        <f>IF(C177=1,M177*Habitat!$I$29,0)+IF(C177=2,M177*Habitat!$J$29,0)+IF(C177=3,M177*Habitat!$K$29,0)+IF(C177=4,M177*Habitat!$L$29,0)+IF(C177=5,M177*Habitat!$M$29,0)</f>
        <v>0</v>
      </c>
      <c r="S177">
        <f>IF(C177=1,M177*Habitat!$I$30,0)+IF(C177=2,M177*Habitat!$J$30,0)+IF(C177=3,M177*Habitat!$K$30,0)+IF(C177=4,M177*Habitat!$L$30,0)+IF(C177=5,M177*Habitat!$M$30,0)</f>
        <v>0</v>
      </c>
    </row>
    <row r="178" spans="1:19">
      <c r="A178">
        <f t="shared" si="59"/>
        <v>168</v>
      </c>
      <c r="C178" s="5">
        <v>3</v>
      </c>
      <c r="D178" s="56">
        <f>D177+Habitat!$C$16</f>
        <v>970</v>
      </c>
      <c r="E178" s="48">
        <f t="shared" si="63"/>
        <v>739</v>
      </c>
      <c r="F178" s="3">
        <f>Habitat!$D$13*D178</f>
        <v>27.16</v>
      </c>
      <c r="G178" s="3">
        <f t="shared" si="60"/>
        <v>0</v>
      </c>
      <c r="H178" s="3">
        <f t="shared" si="55"/>
        <v>0</v>
      </c>
      <c r="I178" s="3"/>
      <c r="J178" s="3"/>
      <c r="K178" s="3"/>
      <c r="L178" s="3">
        <f t="shared" si="61"/>
        <v>0</v>
      </c>
      <c r="M178">
        <f t="shared" si="62"/>
        <v>0</v>
      </c>
      <c r="N178" s="48">
        <f>IF(C178=1,M178*Habitat!$I$27,0)+IF(C178=2,M178*Habitat!$J$27,0)+IF(C178=3,M178*Habitat!$K$27,0)+IF(C178=4,M178*Habitat!$L$27,0)+IF(C178=5,M178*Habitat!$M$27,0)</f>
        <v>0</v>
      </c>
      <c r="O178" s="48">
        <f>IF(C178=1,M178*Habitat!$I$26,0)+IF(C178=2,M178*Habitat!$J$26,0)+IF(C178=3,M178*Habitat!$K$26,0)+IF(C178=4,M178*Habitat!$L$26,0)+IF(C178=5,M178*Habitat!$M$26,0)</f>
        <v>0</v>
      </c>
      <c r="P178" s="48">
        <f>IF(C178=1,M178*Habitat!$I$25,0)+IF(C178=2,M178*Habitat!$J$25,0)+IF(C178=3,M178*Habitat!$K$25,0)+IF(C178=4,M178*Habitat!$L$25,0)+IF(C178=5,M178*Habitat!$M$25,0)</f>
        <v>0</v>
      </c>
      <c r="Q178" s="48">
        <f>IF(C178=1,M178*Habitat!$I$28,0)+IF(C178=2,M178*Habitat!$J$28,0)+IF(C178=3,M178*Habitat!$K$28,0)+IF(C178=4,M178*Habitat!$L$28,0)+IF(C178=5,M178*Habitat!$M$28,0)</f>
        <v>0</v>
      </c>
      <c r="R178" s="48">
        <f>IF(C178=1,M178*Habitat!$I$29,0)+IF(C178=2,M178*Habitat!$J$29,0)+IF(C178=3,M178*Habitat!$K$29,0)+IF(C178=4,M178*Habitat!$L$29,0)+IF(C178=5,M178*Habitat!$M$29,0)</f>
        <v>0</v>
      </c>
      <c r="S178">
        <f>IF(C178=1,M178*Habitat!$I$30,0)+IF(C178=2,M178*Habitat!$J$30,0)+IF(C178=3,M178*Habitat!$K$30,0)+IF(C178=4,M178*Habitat!$L$30,0)+IF(C178=5,M178*Habitat!$M$30,0)</f>
        <v>0</v>
      </c>
    </row>
    <row r="179" spans="1:19">
      <c r="A179">
        <f t="shared" si="59"/>
        <v>169</v>
      </c>
      <c r="C179" s="5">
        <v>3</v>
      </c>
      <c r="D179" s="56">
        <f>D178+Habitat!$C$16</f>
        <v>975</v>
      </c>
      <c r="E179" s="48">
        <f t="shared" si="63"/>
        <v>744</v>
      </c>
      <c r="F179" s="3">
        <f>Habitat!$D$13*D179</f>
        <v>27.3</v>
      </c>
      <c r="G179" s="3">
        <f t="shared" si="60"/>
        <v>0</v>
      </c>
      <c r="H179" s="3">
        <f t="shared" si="55"/>
        <v>0</v>
      </c>
      <c r="I179" s="3"/>
      <c r="J179" s="3"/>
      <c r="K179" s="3"/>
      <c r="L179" s="3">
        <f t="shared" si="61"/>
        <v>0</v>
      </c>
      <c r="M179">
        <f t="shared" si="62"/>
        <v>0</v>
      </c>
      <c r="N179" s="48">
        <f>IF(C179=1,M179*Habitat!$I$27,0)+IF(C179=2,M179*Habitat!$J$27,0)+IF(C179=3,M179*Habitat!$K$27,0)+IF(C179=4,M179*Habitat!$L$27,0)+IF(C179=5,M179*Habitat!$M$27,0)</f>
        <v>0</v>
      </c>
      <c r="O179" s="48">
        <f>IF(C179=1,M179*Habitat!$I$26,0)+IF(C179=2,M179*Habitat!$J$26,0)+IF(C179=3,M179*Habitat!$K$26,0)+IF(C179=4,M179*Habitat!$L$26,0)+IF(C179=5,M179*Habitat!$M$26,0)</f>
        <v>0</v>
      </c>
      <c r="P179" s="48">
        <f>IF(C179=1,M179*Habitat!$I$25,0)+IF(C179=2,M179*Habitat!$J$25,0)+IF(C179=3,M179*Habitat!$K$25,0)+IF(C179=4,M179*Habitat!$L$25,0)+IF(C179=5,M179*Habitat!$M$25,0)</f>
        <v>0</v>
      </c>
      <c r="Q179" s="48">
        <f>IF(C179=1,M179*Habitat!$I$28,0)+IF(C179=2,M179*Habitat!$J$28,0)+IF(C179=3,M179*Habitat!$K$28,0)+IF(C179=4,M179*Habitat!$L$28,0)+IF(C179=5,M179*Habitat!$M$28,0)</f>
        <v>0</v>
      </c>
      <c r="R179" s="48">
        <f>IF(C179=1,M179*Habitat!$I$29,0)+IF(C179=2,M179*Habitat!$J$29,0)+IF(C179=3,M179*Habitat!$K$29,0)+IF(C179=4,M179*Habitat!$L$29,0)+IF(C179=5,M179*Habitat!$M$29,0)</f>
        <v>0</v>
      </c>
      <c r="S179">
        <f>IF(C179=1,M179*Habitat!$I$30,0)+IF(C179=2,M179*Habitat!$J$30,0)+IF(C179=3,M179*Habitat!$K$30,0)+IF(C179=4,M179*Habitat!$L$30,0)+IF(C179=5,M179*Habitat!$M$30,0)</f>
        <v>0</v>
      </c>
    </row>
    <row r="180" spans="1:19">
      <c r="A180">
        <f t="shared" si="59"/>
        <v>170</v>
      </c>
      <c r="C180" s="5">
        <v>3</v>
      </c>
      <c r="D180" s="56">
        <f>D179+Habitat!$C$16</f>
        <v>980</v>
      </c>
      <c r="E180" s="48">
        <f t="shared" si="63"/>
        <v>749</v>
      </c>
      <c r="F180" s="3">
        <f>Habitat!$D$13*D180</f>
        <v>27.44</v>
      </c>
      <c r="G180" s="3">
        <f t="shared" si="60"/>
        <v>0</v>
      </c>
      <c r="H180" s="3">
        <f t="shared" si="55"/>
        <v>0</v>
      </c>
      <c r="I180" s="3"/>
      <c r="J180" s="3"/>
      <c r="K180" s="3"/>
      <c r="L180" s="3">
        <f t="shared" si="61"/>
        <v>0</v>
      </c>
      <c r="M180">
        <f t="shared" si="62"/>
        <v>0</v>
      </c>
      <c r="N180" s="48">
        <f>IF(C180=1,M180*Habitat!$I$27,0)+IF(C180=2,M180*Habitat!$J$27,0)+IF(C180=3,M180*Habitat!$K$27,0)+IF(C180=4,M180*Habitat!$L$27,0)+IF(C180=5,M180*Habitat!$M$27,0)</f>
        <v>0</v>
      </c>
      <c r="O180" s="48">
        <f>IF(C180=1,M180*Habitat!$I$26,0)+IF(C180=2,M180*Habitat!$J$26,0)+IF(C180=3,M180*Habitat!$K$26,0)+IF(C180=4,M180*Habitat!$L$26,0)+IF(C180=5,M180*Habitat!$M$26,0)</f>
        <v>0</v>
      </c>
      <c r="P180" s="48">
        <f>IF(C180=1,M180*Habitat!$I$25,0)+IF(C180=2,M180*Habitat!$J$25,0)+IF(C180=3,M180*Habitat!$K$25,0)+IF(C180=4,M180*Habitat!$L$25,0)+IF(C180=5,M180*Habitat!$M$25,0)</f>
        <v>0</v>
      </c>
      <c r="Q180" s="48">
        <f>IF(C180=1,M180*Habitat!$I$28,0)+IF(C180=2,M180*Habitat!$J$28,0)+IF(C180=3,M180*Habitat!$K$28,0)+IF(C180=4,M180*Habitat!$L$28,0)+IF(C180=5,M180*Habitat!$M$28,0)</f>
        <v>0</v>
      </c>
      <c r="R180" s="48">
        <f>IF(C180=1,M180*Habitat!$I$29,0)+IF(C180=2,M180*Habitat!$J$29,0)+IF(C180=3,M180*Habitat!$K$29,0)+IF(C180=4,M180*Habitat!$L$29,0)+IF(C180=5,M180*Habitat!$M$29,0)</f>
        <v>0</v>
      </c>
      <c r="S180">
        <f>IF(C180=1,M180*Habitat!$I$30,0)+IF(C180=2,M180*Habitat!$J$30,0)+IF(C180=3,M180*Habitat!$K$30,0)+IF(C180=4,M180*Habitat!$L$30,0)+IF(C180=5,M180*Habitat!$M$30,0)</f>
        <v>0</v>
      </c>
    </row>
    <row r="181" spans="1:19">
      <c r="A181">
        <f t="shared" si="59"/>
        <v>171</v>
      </c>
      <c r="C181" s="5">
        <v>3</v>
      </c>
      <c r="D181" s="56">
        <f>D180+Habitat!$C$16</f>
        <v>985</v>
      </c>
      <c r="E181" s="48">
        <f t="shared" si="63"/>
        <v>754</v>
      </c>
      <c r="F181" s="3">
        <f>Habitat!$D$13*D181</f>
        <v>27.580000000000002</v>
      </c>
      <c r="G181" s="3">
        <f t="shared" si="60"/>
        <v>0</v>
      </c>
      <c r="H181" s="3">
        <f t="shared" si="55"/>
        <v>0</v>
      </c>
      <c r="I181" s="3"/>
      <c r="J181" s="3"/>
      <c r="K181" s="3"/>
      <c r="L181" s="3">
        <f t="shared" si="61"/>
        <v>0</v>
      </c>
      <c r="M181">
        <f t="shared" si="62"/>
        <v>0</v>
      </c>
      <c r="N181" s="48">
        <f>IF(C181=1,M181*Habitat!$I$27,0)+IF(C181=2,M181*Habitat!$J$27,0)+IF(C181=3,M181*Habitat!$K$27,0)+IF(C181=4,M181*Habitat!$L$27,0)+IF(C181=5,M181*Habitat!$M$27,0)</f>
        <v>0</v>
      </c>
      <c r="O181" s="48">
        <f>IF(C181=1,M181*Habitat!$I$26,0)+IF(C181=2,M181*Habitat!$J$26,0)+IF(C181=3,M181*Habitat!$K$26,0)+IF(C181=4,M181*Habitat!$L$26,0)+IF(C181=5,M181*Habitat!$M$26,0)</f>
        <v>0</v>
      </c>
      <c r="P181" s="48">
        <f>IF(C181=1,M181*Habitat!$I$25,0)+IF(C181=2,M181*Habitat!$J$25,0)+IF(C181=3,M181*Habitat!$K$25,0)+IF(C181=4,M181*Habitat!$L$25,0)+IF(C181=5,M181*Habitat!$M$25,0)</f>
        <v>0</v>
      </c>
      <c r="Q181" s="48">
        <f>IF(C181=1,M181*Habitat!$I$28,0)+IF(C181=2,M181*Habitat!$J$28,0)+IF(C181=3,M181*Habitat!$K$28,0)+IF(C181=4,M181*Habitat!$L$28,0)+IF(C181=5,M181*Habitat!$M$28,0)</f>
        <v>0</v>
      </c>
      <c r="R181" s="48">
        <f>IF(C181=1,M181*Habitat!$I$29,0)+IF(C181=2,M181*Habitat!$J$29,0)+IF(C181=3,M181*Habitat!$K$29,0)+IF(C181=4,M181*Habitat!$L$29,0)+IF(C181=5,M181*Habitat!$M$29,0)</f>
        <v>0</v>
      </c>
      <c r="S181">
        <f>IF(C181=1,M181*Habitat!$I$30,0)+IF(C181=2,M181*Habitat!$J$30,0)+IF(C181=3,M181*Habitat!$K$30,0)+IF(C181=4,M181*Habitat!$L$30,0)+IF(C181=5,M181*Habitat!$M$30,0)</f>
        <v>0</v>
      </c>
    </row>
    <row r="182" spans="1:19">
      <c r="A182">
        <f t="shared" si="59"/>
        <v>172</v>
      </c>
      <c r="C182" s="5">
        <v>3</v>
      </c>
      <c r="D182" s="56">
        <f>D181+Habitat!$C$16</f>
        <v>990</v>
      </c>
      <c r="E182" s="48">
        <f t="shared" si="63"/>
        <v>759</v>
      </c>
      <c r="F182" s="3">
        <f>Habitat!$D$13*D182</f>
        <v>27.72</v>
      </c>
      <c r="G182" s="3">
        <f t="shared" si="60"/>
        <v>0</v>
      </c>
      <c r="H182" s="3">
        <f t="shared" si="55"/>
        <v>0</v>
      </c>
      <c r="I182" s="3"/>
      <c r="J182" s="3"/>
      <c r="K182" s="3"/>
      <c r="L182" s="3">
        <f t="shared" si="61"/>
        <v>0</v>
      </c>
      <c r="M182">
        <f t="shared" si="62"/>
        <v>0</v>
      </c>
      <c r="N182" s="48">
        <f>IF(C182=1,M182*Habitat!$I$27,0)+IF(C182=2,M182*Habitat!$J$27,0)+IF(C182=3,M182*Habitat!$K$27,0)+IF(C182=4,M182*Habitat!$L$27,0)+IF(C182=5,M182*Habitat!$M$27,0)</f>
        <v>0</v>
      </c>
      <c r="O182" s="48">
        <f>IF(C182=1,M182*Habitat!$I$26,0)+IF(C182=2,M182*Habitat!$J$26,0)+IF(C182=3,M182*Habitat!$K$26,0)+IF(C182=4,M182*Habitat!$L$26,0)+IF(C182=5,M182*Habitat!$M$26,0)</f>
        <v>0</v>
      </c>
      <c r="P182" s="48">
        <f>IF(C182=1,M182*Habitat!$I$25,0)+IF(C182=2,M182*Habitat!$J$25,0)+IF(C182=3,M182*Habitat!$K$25,0)+IF(C182=4,M182*Habitat!$L$25,0)+IF(C182=5,M182*Habitat!$M$25,0)</f>
        <v>0</v>
      </c>
      <c r="Q182" s="48">
        <f>IF(C182=1,M182*Habitat!$I$28,0)+IF(C182=2,M182*Habitat!$J$28,0)+IF(C182=3,M182*Habitat!$K$28,0)+IF(C182=4,M182*Habitat!$L$28,0)+IF(C182=5,M182*Habitat!$M$28,0)</f>
        <v>0</v>
      </c>
      <c r="R182" s="48">
        <f>IF(C182=1,M182*Habitat!$I$29,0)+IF(C182=2,M182*Habitat!$J$29,0)+IF(C182=3,M182*Habitat!$K$29,0)+IF(C182=4,M182*Habitat!$L$29,0)+IF(C182=5,M182*Habitat!$M$29,0)</f>
        <v>0</v>
      </c>
      <c r="S182">
        <f>IF(C182=1,M182*Habitat!$I$30,0)+IF(C182=2,M182*Habitat!$J$30,0)+IF(C182=3,M182*Habitat!$K$30,0)+IF(C182=4,M182*Habitat!$L$30,0)+IF(C182=5,M182*Habitat!$M$30,0)</f>
        <v>0</v>
      </c>
    </row>
    <row r="183" spans="1:19">
      <c r="A183">
        <f t="shared" si="59"/>
        <v>173</v>
      </c>
      <c r="C183" s="5">
        <v>3</v>
      </c>
      <c r="D183" s="56">
        <f>D182+Habitat!$C$16</f>
        <v>995</v>
      </c>
      <c r="E183" s="48">
        <f t="shared" si="63"/>
        <v>764</v>
      </c>
      <c r="F183" s="3">
        <f>Habitat!$D$13*D183</f>
        <v>27.86</v>
      </c>
      <c r="G183" s="3">
        <f t="shared" si="60"/>
        <v>0</v>
      </c>
      <c r="H183" s="3">
        <f t="shared" si="55"/>
        <v>0</v>
      </c>
      <c r="I183" s="3"/>
      <c r="J183" s="3"/>
      <c r="K183" s="3"/>
      <c r="L183" s="3">
        <f t="shared" si="61"/>
        <v>0</v>
      </c>
      <c r="M183">
        <f t="shared" si="62"/>
        <v>0</v>
      </c>
      <c r="N183" s="48">
        <f>IF(C183=1,M183*Habitat!$I$27,0)+IF(C183=2,M183*Habitat!$J$27,0)+IF(C183=3,M183*Habitat!$K$27,0)+IF(C183=4,M183*Habitat!$L$27,0)+IF(C183=5,M183*Habitat!$M$27,0)</f>
        <v>0</v>
      </c>
      <c r="O183" s="48">
        <f>IF(C183=1,M183*Habitat!$I$26,0)+IF(C183=2,M183*Habitat!$J$26,0)+IF(C183=3,M183*Habitat!$K$26,0)+IF(C183=4,M183*Habitat!$L$26,0)+IF(C183=5,M183*Habitat!$M$26,0)</f>
        <v>0</v>
      </c>
      <c r="P183" s="48">
        <f>IF(C183=1,M183*Habitat!$I$25,0)+IF(C183=2,M183*Habitat!$J$25,0)+IF(C183=3,M183*Habitat!$K$25,0)+IF(C183=4,M183*Habitat!$L$25,0)+IF(C183=5,M183*Habitat!$M$25,0)</f>
        <v>0</v>
      </c>
      <c r="Q183" s="48">
        <f>IF(C183=1,M183*Habitat!$I$28,0)+IF(C183=2,M183*Habitat!$J$28,0)+IF(C183=3,M183*Habitat!$K$28,0)+IF(C183=4,M183*Habitat!$L$28,0)+IF(C183=5,M183*Habitat!$M$28,0)</f>
        <v>0</v>
      </c>
      <c r="R183" s="48">
        <f>IF(C183=1,M183*Habitat!$I$29,0)+IF(C183=2,M183*Habitat!$J$29,0)+IF(C183=3,M183*Habitat!$K$29,0)+IF(C183=4,M183*Habitat!$L$29,0)+IF(C183=5,M183*Habitat!$M$29,0)</f>
        <v>0</v>
      </c>
      <c r="S183">
        <f>IF(C183=1,M183*Habitat!$I$30,0)+IF(C183=2,M183*Habitat!$J$30,0)+IF(C183=3,M183*Habitat!$K$30,0)+IF(C183=4,M183*Habitat!$L$30,0)+IF(C183=5,M183*Habitat!$M$30,0)</f>
        <v>0</v>
      </c>
    </row>
    <row r="184" spans="1:19">
      <c r="A184">
        <f t="shared" si="59"/>
        <v>174</v>
      </c>
      <c r="C184" s="5">
        <v>3</v>
      </c>
      <c r="D184" s="56">
        <f>D183+Habitat!$C$16</f>
        <v>1000</v>
      </c>
      <c r="E184" s="48">
        <f t="shared" si="63"/>
        <v>769</v>
      </c>
      <c r="F184" s="3">
        <f>Habitat!$D$13*D184</f>
        <v>28</v>
      </c>
      <c r="G184" s="3">
        <f t="shared" si="60"/>
        <v>0</v>
      </c>
      <c r="H184" s="3">
        <f t="shared" si="55"/>
        <v>0</v>
      </c>
      <c r="I184" s="3"/>
      <c r="J184" s="3"/>
      <c r="K184" s="3"/>
      <c r="L184" s="3">
        <f t="shared" si="61"/>
        <v>0</v>
      </c>
      <c r="M184">
        <f t="shared" si="62"/>
        <v>0</v>
      </c>
      <c r="N184" s="48">
        <f>IF(C184=1,M184*Habitat!$I$27,0)+IF(C184=2,M184*Habitat!$J$27,0)+IF(C184=3,M184*Habitat!$K$27,0)+IF(C184=4,M184*Habitat!$L$27,0)+IF(C184=5,M184*Habitat!$M$27,0)</f>
        <v>0</v>
      </c>
      <c r="O184" s="48">
        <f>IF(C184=1,M184*Habitat!$I$26,0)+IF(C184=2,M184*Habitat!$J$26,0)+IF(C184=3,M184*Habitat!$K$26,0)+IF(C184=4,M184*Habitat!$L$26,0)+IF(C184=5,M184*Habitat!$M$26,0)</f>
        <v>0</v>
      </c>
      <c r="P184" s="48">
        <f>IF(C184=1,M184*Habitat!$I$25,0)+IF(C184=2,M184*Habitat!$J$25,0)+IF(C184=3,M184*Habitat!$K$25,0)+IF(C184=4,M184*Habitat!$L$25,0)+IF(C184=5,M184*Habitat!$M$25,0)</f>
        <v>0</v>
      </c>
      <c r="Q184" s="48">
        <f>IF(C184=1,M184*Habitat!$I$28,0)+IF(C184=2,M184*Habitat!$J$28,0)+IF(C184=3,M184*Habitat!$K$28,0)+IF(C184=4,M184*Habitat!$L$28,0)+IF(C184=5,M184*Habitat!$M$28,0)</f>
        <v>0</v>
      </c>
      <c r="R184" s="48">
        <f>IF(C184=1,M184*Habitat!$I$29,0)+IF(C184=2,M184*Habitat!$J$29,0)+IF(C184=3,M184*Habitat!$K$29,0)+IF(C184=4,M184*Habitat!$L$29,0)+IF(C184=5,M184*Habitat!$M$29,0)</f>
        <v>0</v>
      </c>
      <c r="S184">
        <f>IF(C184=1,M184*Habitat!$I$30,0)+IF(C184=2,M184*Habitat!$J$30,0)+IF(C184=3,M184*Habitat!$K$30,0)+IF(C184=4,M184*Habitat!$L$30,0)+IF(C184=5,M184*Habitat!$M$30,0)</f>
        <v>0</v>
      </c>
    </row>
    <row r="185" spans="1:19">
      <c r="A185">
        <f t="shared" si="59"/>
        <v>175</v>
      </c>
      <c r="C185" s="5">
        <v>3</v>
      </c>
      <c r="D185" s="56">
        <f>D184+Habitat!$C$16</f>
        <v>1005</v>
      </c>
      <c r="E185" s="48">
        <f t="shared" si="63"/>
        <v>774</v>
      </c>
      <c r="F185" s="3">
        <f>Habitat!$D$13*D185</f>
        <v>28.14</v>
      </c>
      <c r="G185" s="3">
        <f t="shared" si="60"/>
        <v>0</v>
      </c>
      <c r="H185" s="3">
        <f t="shared" si="55"/>
        <v>0</v>
      </c>
      <c r="I185" s="3"/>
      <c r="J185" s="3"/>
      <c r="K185" s="3"/>
      <c r="L185" s="3">
        <f t="shared" si="61"/>
        <v>0</v>
      </c>
      <c r="M185">
        <f t="shared" si="62"/>
        <v>0</v>
      </c>
      <c r="N185" s="48">
        <f>IF(C185=1,M185*Habitat!$I$27,0)+IF(C185=2,M185*Habitat!$J$27,0)+IF(C185=3,M185*Habitat!$K$27,0)+IF(C185=4,M185*Habitat!$L$27,0)+IF(C185=5,M185*Habitat!$M$27,0)</f>
        <v>0</v>
      </c>
      <c r="O185" s="48">
        <f>IF(C185=1,M185*Habitat!$I$26,0)+IF(C185=2,M185*Habitat!$J$26,0)+IF(C185=3,M185*Habitat!$K$26,0)+IF(C185=4,M185*Habitat!$L$26,0)+IF(C185=5,M185*Habitat!$M$26,0)</f>
        <v>0</v>
      </c>
      <c r="P185" s="48">
        <f>IF(C185=1,M185*Habitat!$I$25,0)+IF(C185=2,M185*Habitat!$J$25,0)+IF(C185=3,M185*Habitat!$K$25,0)+IF(C185=4,M185*Habitat!$L$25,0)+IF(C185=5,M185*Habitat!$M$25,0)</f>
        <v>0</v>
      </c>
      <c r="Q185" s="48">
        <f>IF(C185=1,M185*Habitat!$I$28,0)+IF(C185=2,M185*Habitat!$J$28,0)+IF(C185=3,M185*Habitat!$K$28,0)+IF(C185=4,M185*Habitat!$L$28,0)+IF(C185=5,M185*Habitat!$M$28,0)</f>
        <v>0</v>
      </c>
      <c r="R185" s="48">
        <f>IF(C185=1,M185*Habitat!$I$29,0)+IF(C185=2,M185*Habitat!$J$29,0)+IF(C185=3,M185*Habitat!$K$29,0)+IF(C185=4,M185*Habitat!$L$29,0)+IF(C185=5,M185*Habitat!$M$29,0)</f>
        <v>0</v>
      </c>
      <c r="S185">
        <f>IF(C185=1,M185*Habitat!$I$30,0)+IF(C185=2,M185*Habitat!$J$30,0)+IF(C185=3,M185*Habitat!$K$30,0)+IF(C185=4,M185*Habitat!$L$30,0)+IF(C185=5,M185*Habitat!$M$30,0)</f>
        <v>0</v>
      </c>
    </row>
    <row r="186" spans="1:19">
      <c r="A186">
        <f t="shared" si="59"/>
        <v>176</v>
      </c>
      <c r="C186" s="5">
        <v>3</v>
      </c>
      <c r="D186" s="56">
        <f>D185+Habitat!$C$16</f>
        <v>1010</v>
      </c>
      <c r="E186" s="48">
        <f t="shared" si="63"/>
        <v>779</v>
      </c>
      <c r="F186" s="3">
        <f>Habitat!$D$13*D186</f>
        <v>28.28</v>
      </c>
      <c r="G186" s="3">
        <f t="shared" si="60"/>
        <v>0</v>
      </c>
      <c r="H186" s="3">
        <f t="shared" si="55"/>
        <v>0</v>
      </c>
      <c r="I186" s="3"/>
      <c r="J186" s="3"/>
      <c r="K186" s="3"/>
      <c r="L186" s="3">
        <f t="shared" si="61"/>
        <v>0</v>
      </c>
      <c r="M186">
        <f t="shared" si="62"/>
        <v>0</v>
      </c>
      <c r="N186" s="48">
        <f>IF(C186=1,M186*Habitat!$I$27,0)+IF(C186=2,M186*Habitat!$J$27,0)+IF(C186=3,M186*Habitat!$K$27,0)+IF(C186=4,M186*Habitat!$L$27,0)+IF(C186=5,M186*Habitat!$M$27,0)</f>
        <v>0</v>
      </c>
      <c r="O186" s="48">
        <f>IF(C186=1,M186*Habitat!$I$26,0)+IF(C186=2,M186*Habitat!$J$26,0)+IF(C186=3,M186*Habitat!$K$26,0)+IF(C186=4,M186*Habitat!$L$26,0)+IF(C186=5,M186*Habitat!$M$26,0)</f>
        <v>0</v>
      </c>
      <c r="P186" s="48">
        <f>IF(C186=1,M186*Habitat!$I$25,0)+IF(C186=2,M186*Habitat!$J$25,0)+IF(C186=3,M186*Habitat!$K$25,0)+IF(C186=4,M186*Habitat!$L$25,0)+IF(C186=5,M186*Habitat!$M$25,0)</f>
        <v>0</v>
      </c>
      <c r="Q186" s="48">
        <f>IF(C186=1,M186*Habitat!$I$28,0)+IF(C186=2,M186*Habitat!$J$28,0)+IF(C186=3,M186*Habitat!$K$28,0)+IF(C186=4,M186*Habitat!$L$28,0)+IF(C186=5,M186*Habitat!$M$28,0)</f>
        <v>0</v>
      </c>
      <c r="R186" s="48">
        <f>IF(C186=1,M186*Habitat!$I$29,0)+IF(C186=2,M186*Habitat!$J$29,0)+IF(C186=3,M186*Habitat!$K$29,0)+IF(C186=4,M186*Habitat!$L$29,0)+IF(C186=5,M186*Habitat!$M$29,0)</f>
        <v>0</v>
      </c>
      <c r="S186">
        <f>IF(C186=1,M186*Habitat!$I$30,0)+IF(C186=2,M186*Habitat!$J$30,0)+IF(C186=3,M186*Habitat!$K$30,0)+IF(C186=4,M186*Habitat!$L$30,0)+IF(C186=5,M186*Habitat!$M$30,0)</f>
        <v>0</v>
      </c>
    </row>
    <row r="187" spans="1:19">
      <c r="A187">
        <f t="shared" si="59"/>
        <v>177</v>
      </c>
      <c r="C187" s="5">
        <v>3</v>
      </c>
      <c r="D187" s="56">
        <f>D186+Habitat!$C$16</f>
        <v>1015</v>
      </c>
      <c r="E187" s="48">
        <f t="shared" si="63"/>
        <v>784</v>
      </c>
      <c r="F187" s="3">
        <f>Habitat!$D$13*D187</f>
        <v>28.42</v>
      </c>
      <c r="G187" s="3">
        <f t="shared" si="60"/>
        <v>0</v>
      </c>
      <c r="H187" s="3">
        <f t="shared" si="55"/>
        <v>0</v>
      </c>
      <c r="I187" s="3"/>
      <c r="J187" s="3"/>
      <c r="K187" s="3"/>
      <c r="L187" s="3">
        <f t="shared" si="61"/>
        <v>0</v>
      </c>
      <c r="M187">
        <f t="shared" si="62"/>
        <v>0</v>
      </c>
      <c r="N187" s="48">
        <f>IF(C187=1,M187*Habitat!$I$27,0)+IF(C187=2,M187*Habitat!$J$27,0)+IF(C187=3,M187*Habitat!$K$27,0)+IF(C187=4,M187*Habitat!$L$27,0)+IF(C187=5,M187*Habitat!$M$27,0)</f>
        <v>0</v>
      </c>
      <c r="O187" s="48">
        <f>IF(C187=1,M187*Habitat!$I$26,0)+IF(C187=2,M187*Habitat!$J$26,0)+IF(C187=3,M187*Habitat!$K$26,0)+IF(C187=4,M187*Habitat!$L$26,0)+IF(C187=5,M187*Habitat!$M$26,0)</f>
        <v>0</v>
      </c>
      <c r="P187" s="48">
        <f>IF(C187=1,M187*Habitat!$I$25,0)+IF(C187=2,M187*Habitat!$J$25,0)+IF(C187=3,M187*Habitat!$K$25,0)+IF(C187=4,M187*Habitat!$L$25,0)+IF(C187=5,M187*Habitat!$M$25,0)</f>
        <v>0</v>
      </c>
      <c r="Q187" s="48">
        <f>IF(C187=1,M187*Habitat!$I$28,0)+IF(C187=2,M187*Habitat!$J$28,0)+IF(C187=3,M187*Habitat!$K$28,0)+IF(C187=4,M187*Habitat!$L$28,0)+IF(C187=5,M187*Habitat!$M$28,0)</f>
        <v>0</v>
      </c>
      <c r="R187" s="48">
        <f>IF(C187=1,M187*Habitat!$I$29,0)+IF(C187=2,M187*Habitat!$J$29,0)+IF(C187=3,M187*Habitat!$K$29,0)+IF(C187=4,M187*Habitat!$L$29,0)+IF(C187=5,M187*Habitat!$M$29,0)</f>
        <v>0</v>
      </c>
      <c r="S187">
        <f>IF(C187=1,M187*Habitat!$I$30,0)+IF(C187=2,M187*Habitat!$J$30,0)+IF(C187=3,M187*Habitat!$K$30,0)+IF(C187=4,M187*Habitat!$L$30,0)+IF(C187=5,M187*Habitat!$M$30,0)</f>
        <v>0</v>
      </c>
    </row>
    <row r="188" spans="1:19">
      <c r="A188">
        <f t="shared" si="59"/>
        <v>178</v>
      </c>
      <c r="C188" s="5">
        <v>3</v>
      </c>
      <c r="D188" s="56">
        <f>D187+Habitat!$C$16</f>
        <v>1020</v>
      </c>
      <c r="E188" s="48">
        <f t="shared" si="63"/>
        <v>789</v>
      </c>
      <c r="F188" s="3">
        <f>Habitat!$D$13*D188</f>
        <v>28.560000000000002</v>
      </c>
      <c r="G188" s="3">
        <f t="shared" si="60"/>
        <v>0</v>
      </c>
      <c r="H188" s="3">
        <f t="shared" si="55"/>
        <v>0</v>
      </c>
      <c r="I188" s="3"/>
      <c r="J188" s="3"/>
      <c r="K188" s="3"/>
      <c r="L188" s="3">
        <f t="shared" si="61"/>
        <v>0</v>
      </c>
      <c r="M188">
        <f t="shared" si="62"/>
        <v>0</v>
      </c>
      <c r="N188" s="48">
        <f>IF(C188=1,M188*Habitat!$I$27,0)+IF(C188=2,M188*Habitat!$J$27,0)+IF(C188=3,M188*Habitat!$K$27,0)+IF(C188=4,M188*Habitat!$L$27,0)+IF(C188=5,M188*Habitat!$M$27,0)</f>
        <v>0</v>
      </c>
      <c r="O188" s="48">
        <f>IF(C188=1,M188*Habitat!$I$26,0)+IF(C188=2,M188*Habitat!$J$26,0)+IF(C188=3,M188*Habitat!$K$26,0)+IF(C188=4,M188*Habitat!$L$26,0)+IF(C188=5,M188*Habitat!$M$26,0)</f>
        <v>0</v>
      </c>
      <c r="P188" s="48">
        <f>IF(C188=1,M188*Habitat!$I$25,0)+IF(C188=2,M188*Habitat!$J$25,0)+IF(C188=3,M188*Habitat!$K$25,0)+IF(C188=4,M188*Habitat!$L$25,0)+IF(C188=5,M188*Habitat!$M$25,0)</f>
        <v>0</v>
      </c>
      <c r="Q188" s="48">
        <f>IF(C188=1,M188*Habitat!$I$28,0)+IF(C188=2,M188*Habitat!$J$28,0)+IF(C188=3,M188*Habitat!$K$28,0)+IF(C188=4,M188*Habitat!$L$28,0)+IF(C188=5,M188*Habitat!$M$28,0)</f>
        <v>0</v>
      </c>
      <c r="R188" s="48">
        <f>IF(C188=1,M188*Habitat!$I$29,0)+IF(C188=2,M188*Habitat!$J$29,0)+IF(C188=3,M188*Habitat!$K$29,0)+IF(C188=4,M188*Habitat!$L$29,0)+IF(C188=5,M188*Habitat!$M$29,0)</f>
        <v>0</v>
      </c>
      <c r="S188">
        <f>IF(C188=1,M188*Habitat!$I$30,0)+IF(C188=2,M188*Habitat!$J$30,0)+IF(C188=3,M188*Habitat!$K$30,0)+IF(C188=4,M188*Habitat!$L$30,0)+IF(C188=5,M188*Habitat!$M$30,0)</f>
        <v>0</v>
      </c>
    </row>
    <row r="189" spans="1:19">
      <c r="A189">
        <f t="shared" si="59"/>
        <v>179</v>
      </c>
      <c r="C189" s="5">
        <v>3</v>
      </c>
      <c r="D189" s="56">
        <f>D188+Habitat!$C$16</f>
        <v>1025</v>
      </c>
      <c r="E189" s="48">
        <f t="shared" si="63"/>
        <v>794</v>
      </c>
      <c r="F189" s="3">
        <f>Habitat!$D$13*D189</f>
        <v>28.7</v>
      </c>
      <c r="G189" s="3">
        <f t="shared" si="60"/>
        <v>0</v>
      </c>
      <c r="H189" s="3">
        <f t="shared" si="55"/>
        <v>0</v>
      </c>
      <c r="I189" s="3"/>
      <c r="J189" s="3"/>
      <c r="K189" s="3"/>
      <c r="L189" s="3">
        <f t="shared" si="61"/>
        <v>0</v>
      </c>
      <c r="M189">
        <f t="shared" si="62"/>
        <v>0</v>
      </c>
      <c r="N189" s="48">
        <f>IF(C189=1,M189*Habitat!$I$27,0)+IF(C189=2,M189*Habitat!$J$27,0)+IF(C189=3,M189*Habitat!$K$27,0)+IF(C189=4,M189*Habitat!$L$27,0)+IF(C189=5,M189*Habitat!$M$27,0)</f>
        <v>0</v>
      </c>
      <c r="O189" s="48">
        <f>IF(C189=1,M189*Habitat!$I$26,0)+IF(C189=2,M189*Habitat!$J$26,0)+IF(C189=3,M189*Habitat!$K$26,0)+IF(C189=4,M189*Habitat!$L$26,0)+IF(C189=5,M189*Habitat!$M$26,0)</f>
        <v>0</v>
      </c>
      <c r="P189" s="48">
        <f>IF(C189=1,M189*Habitat!$I$25,0)+IF(C189=2,M189*Habitat!$J$25,0)+IF(C189=3,M189*Habitat!$K$25,0)+IF(C189=4,M189*Habitat!$L$25,0)+IF(C189=5,M189*Habitat!$M$25,0)</f>
        <v>0</v>
      </c>
      <c r="Q189" s="48">
        <f>IF(C189=1,M189*Habitat!$I$28,0)+IF(C189=2,M189*Habitat!$J$28,0)+IF(C189=3,M189*Habitat!$K$28,0)+IF(C189=4,M189*Habitat!$L$28,0)+IF(C189=5,M189*Habitat!$M$28,0)</f>
        <v>0</v>
      </c>
      <c r="R189" s="48">
        <f>IF(C189=1,M189*Habitat!$I$29,0)+IF(C189=2,M189*Habitat!$J$29,0)+IF(C189=3,M189*Habitat!$K$29,0)+IF(C189=4,M189*Habitat!$L$29,0)+IF(C189=5,M189*Habitat!$M$29,0)</f>
        <v>0</v>
      </c>
      <c r="S189">
        <f>IF(C189=1,M189*Habitat!$I$30,0)+IF(C189=2,M189*Habitat!$J$30,0)+IF(C189=3,M189*Habitat!$K$30,0)+IF(C189=4,M189*Habitat!$L$30,0)+IF(C189=5,M189*Habitat!$M$30,0)</f>
        <v>0</v>
      </c>
    </row>
    <row r="190" spans="1:19">
      <c r="A190">
        <f t="shared" si="59"/>
        <v>180</v>
      </c>
      <c r="C190" s="5">
        <v>3</v>
      </c>
      <c r="D190" s="56">
        <f>D189+Habitat!$C$16</f>
        <v>1030</v>
      </c>
      <c r="E190" s="48">
        <f t="shared" si="63"/>
        <v>799</v>
      </c>
      <c r="F190" s="3">
        <f>Habitat!$D$13*D190</f>
        <v>28.84</v>
      </c>
      <c r="G190" s="3">
        <f t="shared" si="60"/>
        <v>0</v>
      </c>
      <c r="H190" s="3">
        <f t="shared" si="55"/>
        <v>0</v>
      </c>
      <c r="I190" s="3"/>
      <c r="J190" s="3"/>
      <c r="K190" s="3"/>
      <c r="L190" s="3">
        <f t="shared" si="61"/>
        <v>0</v>
      </c>
      <c r="M190">
        <f t="shared" si="62"/>
        <v>0</v>
      </c>
      <c r="N190" s="48">
        <f>IF(C190=1,M190*Habitat!$I$27,0)+IF(C190=2,M190*Habitat!$J$27,0)+IF(C190=3,M190*Habitat!$K$27,0)+IF(C190=4,M190*Habitat!$L$27,0)+IF(C190=5,M190*Habitat!$M$27,0)</f>
        <v>0</v>
      </c>
      <c r="O190" s="48">
        <f>IF(C190=1,M190*Habitat!$I$26,0)+IF(C190=2,M190*Habitat!$J$26,0)+IF(C190=3,M190*Habitat!$K$26,0)+IF(C190=4,M190*Habitat!$L$26,0)+IF(C190=5,M190*Habitat!$M$26,0)</f>
        <v>0</v>
      </c>
      <c r="P190" s="48">
        <f>IF(C190=1,M190*Habitat!$I$25,0)+IF(C190=2,M190*Habitat!$J$25,0)+IF(C190=3,M190*Habitat!$K$25,0)+IF(C190=4,M190*Habitat!$L$25,0)+IF(C190=5,M190*Habitat!$M$25,0)</f>
        <v>0</v>
      </c>
      <c r="Q190" s="48">
        <f>IF(C190=1,M190*Habitat!$I$28,0)+IF(C190=2,M190*Habitat!$J$28,0)+IF(C190=3,M190*Habitat!$K$28,0)+IF(C190=4,M190*Habitat!$L$28,0)+IF(C190=5,M190*Habitat!$M$28,0)</f>
        <v>0</v>
      </c>
      <c r="R190" s="48">
        <f>IF(C190=1,M190*Habitat!$I$29,0)+IF(C190=2,M190*Habitat!$J$29,0)+IF(C190=3,M190*Habitat!$K$29,0)+IF(C190=4,M190*Habitat!$L$29,0)+IF(C190=5,M190*Habitat!$M$29,0)</f>
        <v>0</v>
      </c>
      <c r="S190">
        <f>IF(C190=1,M190*Habitat!$I$30,0)+IF(C190=2,M190*Habitat!$J$30,0)+IF(C190=3,M190*Habitat!$K$30,0)+IF(C190=4,M190*Habitat!$L$30,0)+IF(C190=5,M190*Habitat!$M$30,0)</f>
        <v>0</v>
      </c>
    </row>
    <row r="191" spans="1:19">
      <c r="A191">
        <f t="shared" si="59"/>
        <v>181</v>
      </c>
      <c r="C191" s="5">
        <v>3</v>
      </c>
      <c r="D191" s="56">
        <f>D190+Habitat!$C$16</f>
        <v>1035</v>
      </c>
      <c r="E191" s="48">
        <f t="shared" si="63"/>
        <v>804</v>
      </c>
      <c r="F191" s="3">
        <f>Habitat!$D$13*D191</f>
        <v>28.98</v>
      </c>
      <c r="G191" s="3">
        <f t="shared" si="60"/>
        <v>0</v>
      </c>
      <c r="H191" s="3">
        <f t="shared" si="55"/>
        <v>0</v>
      </c>
      <c r="I191" s="3"/>
      <c r="J191" s="3"/>
      <c r="K191" s="3"/>
      <c r="L191" s="3">
        <f t="shared" si="61"/>
        <v>0</v>
      </c>
      <c r="M191">
        <f t="shared" si="62"/>
        <v>0</v>
      </c>
      <c r="N191" s="48">
        <f>IF(C191=1,M191*Habitat!$I$27,0)+IF(C191=2,M191*Habitat!$J$27,0)+IF(C191=3,M191*Habitat!$K$27,0)+IF(C191=4,M191*Habitat!$L$27,0)+IF(C191=5,M191*Habitat!$M$27,0)</f>
        <v>0</v>
      </c>
      <c r="O191" s="48">
        <f>IF(C191=1,M191*Habitat!$I$26,0)+IF(C191=2,M191*Habitat!$J$26,0)+IF(C191=3,M191*Habitat!$K$26,0)+IF(C191=4,M191*Habitat!$L$26,0)+IF(C191=5,M191*Habitat!$M$26,0)</f>
        <v>0</v>
      </c>
      <c r="P191" s="48">
        <f>IF(C191=1,M191*Habitat!$I$25,0)+IF(C191=2,M191*Habitat!$J$25,0)+IF(C191=3,M191*Habitat!$K$25,0)+IF(C191=4,M191*Habitat!$L$25,0)+IF(C191=5,M191*Habitat!$M$25,0)</f>
        <v>0</v>
      </c>
      <c r="Q191" s="48">
        <f>IF(C191=1,M191*Habitat!$I$28,0)+IF(C191=2,M191*Habitat!$J$28,0)+IF(C191=3,M191*Habitat!$K$28,0)+IF(C191=4,M191*Habitat!$L$28,0)+IF(C191=5,M191*Habitat!$M$28,0)</f>
        <v>0</v>
      </c>
      <c r="R191" s="48">
        <f>IF(C191=1,M191*Habitat!$I$29,0)+IF(C191=2,M191*Habitat!$J$29,0)+IF(C191=3,M191*Habitat!$K$29,0)+IF(C191=4,M191*Habitat!$L$29,0)+IF(C191=5,M191*Habitat!$M$29,0)</f>
        <v>0</v>
      </c>
      <c r="S191">
        <f>IF(C191=1,M191*Habitat!$I$30,0)+IF(C191=2,M191*Habitat!$J$30,0)+IF(C191=3,M191*Habitat!$K$30,0)+IF(C191=4,M191*Habitat!$L$30,0)+IF(C191=5,M191*Habitat!$M$30,0)</f>
        <v>0</v>
      </c>
    </row>
    <row r="192" spans="1:19">
      <c r="A192">
        <f t="shared" si="59"/>
        <v>182</v>
      </c>
      <c r="C192" s="5">
        <v>3</v>
      </c>
      <c r="D192" s="56">
        <f>D191+Habitat!$C$16</f>
        <v>1040</v>
      </c>
      <c r="E192" s="48">
        <f t="shared" si="63"/>
        <v>809</v>
      </c>
      <c r="F192" s="3">
        <f>Habitat!$D$13*D192</f>
        <v>29.12</v>
      </c>
      <c r="G192" s="3">
        <f t="shared" si="60"/>
        <v>0</v>
      </c>
      <c r="H192" s="3">
        <f t="shared" si="55"/>
        <v>0</v>
      </c>
      <c r="I192" s="3"/>
      <c r="J192" s="3"/>
      <c r="K192" s="3"/>
      <c r="L192" s="3">
        <f t="shared" si="61"/>
        <v>0</v>
      </c>
      <c r="M192">
        <f t="shared" si="62"/>
        <v>0</v>
      </c>
      <c r="N192" s="48">
        <f>IF(C192=1,M192*Habitat!$I$27,0)+IF(C192=2,M192*Habitat!$J$27,0)+IF(C192=3,M192*Habitat!$K$27,0)+IF(C192=4,M192*Habitat!$L$27,0)+IF(C192=5,M192*Habitat!$M$27,0)</f>
        <v>0</v>
      </c>
      <c r="O192" s="48">
        <f>IF(C192=1,M192*Habitat!$I$26,0)+IF(C192=2,M192*Habitat!$J$26,0)+IF(C192=3,M192*Habitat!$K$26,0)+IF(C192=4,M192*Habitat!$L$26,0)+IF(C192=5,M192*Habitat!$M$26,0)</f>
        <v>0</v>
      </c>
      <c r="P192" s="48">
        <f>IF(C192=1,M192*Habitat!$I$25,0)+IF(C192=2,M192*Habitat!$J$25,0)+IF(C192=3,M192*Habitat!$K$25,0)+IF(C192=4,M192*Habitat!$L$25,0)+IF(C192=5,M192*Habitat!$M$25,0)</f>
        <v>0</v>
      </c>
      <c r="Q192" s="48">
        <f>IF(C192=1,M192*Habitat!$I$28,0)+IF(C192=2,M192*Habitat!$J$28,0)+IF(C192=3,M192*Habitat!$K$28,0)+IF(C192=4,M192*Habitat!$L$28,0)+IF(C192=5,M192*Habitat!$M$28,0)</f>
        <v>0</v>
      </c>
      <c r="R192" s="48">
        <f>IF(C192=1,M192*Habitat!$I$29,0)+IF(C192=2,M192*Habitat!$J$29,0)+IF(C192=3,M192*Habitat!$K$29,0)+IF(C192=4,M192*Habitat!$L$29,0)+IF(C192=5,M192*Habitat!$M$29,0)</f>
        <v>0</v>
      </c>
      <c r="S192">
        <f>IF(C192=1,M192*Habitat!$I$30,0)+IF(C192=2,M192*Habitat!$J$30,0)+IF(C192=3,M192*Habitat!$K$30,0)+IF(C192=4,M192*Habitat!$L$30,0)+IF(C192=5,M192*Habitat!$M$30,0)</f>
        <v>0</v>
      </c>
    </row>
    <row r="193" spans="1:19">
      <c r="A193">
        <f t="shared" si="59"/>
        <v>183</v>
      </c>
      <c r="C193" s="5">
        <v>3</v>
      </c>
      <c r="D193" s="56">
        <f>D192+Habitat!$C$16</f>
        <v>1045</v>
      </c>
      <c r="E193" s="48">
        <f t="shared" si="63"/>
        <v>814</v>
      </c>
      <c r="F193" s="3">
        <f>Habitat!$D$13*D193</f>
        <v>29.26</v>
      </c>
      <c r="G193" s="3">
        <f t="shared" si="60"/>
        <v>0</v>
      </c>
      <c r="H193" s="3">
        <f t="shared" si="55"/>
        <v>0</v>
      </c>
      <c r="I193" s="3"/>
      <c r="J193" s="3"/>
      <c r="K193" s="3"/>
      <c r="L193" s="3">
        <f t="shared" si="61"/>
        <v>0</v>
      </c>
      <c r="M193">
        <f t="shared" si="62"/>
        <v>0</v>
      </c>
      <c r="N193" s="48">
        <f>IF(C193=1,M193*Habitat!$I$27,0)+IF(C193=2,M193*Habitat!$J$27,0)+IF(C193=3,M193*Habitat!$K$27,0)+IF(C193=4,M193*Habitat!$L$27,0)+IF(C193=5,M193*Habitat!$M$27,0)</f>
        <v>0</v>
      </c>
      <c r="O193" s="48">
        <f>IF(C193=1,M193*Habitat!$I$26,0)+IF(C193=2,M193*Habitat!$J$26,0)+IF(C193=3,M193*Habitat!$K$26,0)+IF(C193=4,M193*Habitat!$L$26,0)+IF(C193=5,M193*Habitat!$M$26,0)</f>
        <v>0</v>
      </c>
      <c r="P193" s="48">
        <f>IF(C193=1,M193*Habitat!$I$25,0)+IF(C193=2,M193*Habitat!$J$25,0)+IF(C193=3,M193*Habitat!$K$25,0)+IF(C193=4,M193*Habitat!$L$25,0)+IF(C193=5,M193*Habitat!$M$25,0)</f>
        <v>0</v>
      </c>
      <c r="Q193" s="48">
        <f>IF(C193=1,M193*Habitat!$I$28,0)+IF(C193=2,M193*Habitat!$J$28,0)+IF(C193=3,M193*Habitat!$K$28,0)+IF(C193=4,M193*Habitat!$L$28,0)+IF(C193=5,M193*Habitat!$M$28,0)</f>
        <v>0</v>
      </c>
      <c r="R193" s="48">
        <f>IF(C193=1,M193*Habitat!$I$29,0)+IF(C193=2,M193*Habitat!$J$29,0)+IF(C193=3,M193*Habitat!$K$29,0)+IF(C193=4,M193*Habitat!$L$29,0)+IF(C193=5,M193*Habitat!$M$29,0)</f>
        <v>0</v>
      </c>
      <c r="S193">
        <f>IF(C193=1,M193*Habitat!$I$30,0)+IF(C193=2,M193*Habitat!$J$30,0)+IF(C193=3,M193*Habitat!$K$30,0)+IF(C193=4,M193*Habitat!$L$30,0)+IF(C193=5,M193*Habitat!$M$30,0)</f>
        <v>0</v>
      </c>
    </row>
    <row r="194" spans="1:19">
      <c r="A194">
        <f t="shared" si="59"/>
        <v>184</v>
      </c>
      <c r="C194" s="5">
        <v>3</v>
      </c>
      <c r="D194" s="56">
        <f>D193+Habitat!$C$16</f>
        <v>1050</v>
      </c>
      <c r="E194" s="48">
        <f t="shared" si="63"/>
        <v>819</v>
      </c>
      <c r="F194" s="3">
        <f>Habitat!$D$13*D194</f>
        <v>29.400000000000002</v>
      </c>
      <c r="G194" s="3">
        <f t="shared" si="60"/>
        <v>0</v>
      </c>
      <c r="H194" s="3">
        <f t="shared" si="55"/>
        <v>0</v>
      </c>
      <c r="I194" s="3"/>
      <c r="J194" s="3"/>
      <c r="K194" s="3"/>
      <c r="L194" s="3">
        <f t="shared" si="61"/>
        <v>0</v>
      </c>
      <c r="M194">
        <f t="shared" si="62"/>
        <v>0</v>
      </c>
      <c r="N194" s="48">
        <f>IF(C194=1,M194*Habitat!$I$27,0)+IF(C194=2,M194*Habitat!$J$27,0)+IF(C194=3,M194*Habitat!$K$27,0)+IF(C194=4,M194*Habitat!$L$27,0)+IF(C194=5,M194*Habitat!$M$27,0)</f>
        <v>0</v>
      </c>
      <c r="O194" s="48">
        <f>IF(C194=1,M194*Habitat!$I$26,0)+IF(C194=2,M194*Habitat!$J$26,0)+IF(C194=3,M194*Habitat!$K$26,0)+IF(C194=4,M194*Habitat!$L$26,0)+IF(C194=5,M194*Habitat!$M$26,0)</f>
        <v>0</v>
      </c>
      <c r="P194" s="48">
        <f>IF(C194=1,M194*Habitat!$I$25,0)+IF(C194=2,M194*Habitat!$J$25,0)+IF(C194=3,M194*Habitat!$K$25,0)+IF(C194=4,M194*Habitat!$L$25,0)+IF(C194=5,M194*Habitat!$M$25,0)</f>
        <v>0</v>
      </c>
      <c r="Q194" s="48">
        <f>IF(C194=1,M194*Habitat!$I$28,0)+IF(C194=2,M194*Habitat!$J$28,0)+IF(C194=3,M194*Habitat!$K$28,0)+IF(C194=4,M194*Habitat!$L$28,0)+IF(C194=5,M194*Habitat!$M$28,0)</f>
        <v>0</v>
      </c>
      <c r="R194" s="48">
        <f>IF(C194=1,M194*Habitat!$I$29,0)+IF(C194=2,M194*Habitat!$J$29,0)+IF(C194=3,M194*Habitat!$K$29,0)+IF(C194=4,M194*Habitat!$L$29,0)+IF(C194=5,M194*Habitat!$M$29,0)</f>
        <v>0</v>
      </c>
      <c r="S194">
        <f>IF(C194=1,M194*Habitat!$I$30,0)+IF(C194=2,M194*Habitat!$J$30,0)+IF(C194=3,M194*Habitat!$K$30,0)+IF(C194=4,M194*Habitat!$L$30,0)+IF(C194=5,M194*Habitat!$M$30,0)</f>
        <v>0</v>
      </c>
    </row>
    <row r="195" spans="1:19">
      <c r="A195">
        <f t="shared" si="59"/>
        <v>185</v>
      </c>
      <c r="C195" s="5">
        <v>3</v>
      </c>
      <c r="D195" s="56">
        <f>D194+Habitat!$C$16</f>
        <v>1055</v>
      </c>
      <c r="E195" s="48">
        <f t="shared" si="63"/>
        <v>824</v>
      </c>
      <c r="F195" s="3">
        <f>Habitat!$D$13*D195</f>
        <v>29.54</v>
      </c>
      <c r="G195" s="3">
        <f t="shared" ref="G195:G202" si="64">IF(H195&gt;0,F195/9.8,0)</f>
        <v>0</v>
      </c>
      <c r="H195" s="3">
        <f t="shared" si="55"/>
        <v>0</v>
      </c>
      <c r="I195" s="3"/>
      <c r="J195" s="3"/>
      <c r="K195" s="3"/>
      <c r="L195" s="3">
        <f t="shared" ref="L195:L202" si="65">IF(H195&gt;0,1,0)</f>
        <v>0</v>
      </c>
      <c r="M195">
        <f t="shared" ref="M195:M202" si="66">PI()*H195*H195</f>
        <v>0</v>
      </c>
      <c r="N195" s="48">
        <f>IF(C195=1,M195*Habitat!$I$27,0)+IF(C195=2,M195*Habitat!$J$27,0)+IF(C195=3,M195*Habitat!$K$27,0)+IF(C195=4,M195*Habitat!$L$27,0)+IF(C195=5,M195*Habitat!$M$27,0)</f>
        <v>0</v>
      </c>
      <c r="O195" s="48">
        <f>IF(C195=1,M195*Habitat!$I$26,0)+IF(C195=2,M195*Habitat!$J$26,0)+IF(C195=3,M195*Habitat!$K$26,0)+IF(C195=4,M195*Habitat!$L$26,0)+IF(C195=5,M195*Habitat!$M$26,0)</f>
        <v>0</v>
      </c>
      <c r="P195" s="48">
        <f>IF(C195=1,M195*Habitat!$I$25,0)+IF(C195=2,M195*Habitat!$J$25,0)+IF(C195=3,M195*Habitat!$K$25,0)+IF(C195=4,M195*Habitat!$L$25,0)+IF(C195=5,M195*Habitat!$M$25,0)</f>
        <v>0</v>
      </c>
      <c r="Q195" s="48">
        <f>IF(C195=1,M195*Habitat!$I$28,0)+IF(C195=2,M195*Habitat!$J$28,0)+IF(C195=3,M195*Habitat!$K$28,0)+IF(C195=4,M195*Habitat!$L$28,0)+IF(C195=5,M195*Habitat!$M$28,0)</f>
        <v>0</v>
      </c>
      <c r="R195" s="48">
        <f>IF(C195=1,M195*Habitat!$I$29,0)+IF(C195=2,M195*Habitat!$J$29,0)+IF(C195=3,M195*Habitat!$K$29,0)+IF(C195=4,M195*Habitat!$L$29,0)+IF(C195=5,M195*Habitat!$M$29,0)</f>
        <v>0</v>
      </c>
      <c r="S195">
        <f>IF(C195=1,M195*Habitat!$I$30,0)+IF(C195=2,M195*Habitat!$J$30,0)+IF(C195=3,M195*Habitat!$K$30,0)+IF(C195=4,M195*Habitat!$L$30,0)+IF(C195=5,M195*Habitat!$M$30,0)</f>
        <v>0</v>
      </c>
    </row>
    <row r="196" spans="1:19">
      <c r="A196">
        <f t="shared" si="59"/>
        <v>186</v>
      </c>
      <c r="C196" s="5">
        <v>3</v>
      </c>
      <c r="D196" s="56">
        <f>D195+Habitat!$C$16</f>
        <v>1060</v>
      </c>
      <c r="E196" s="48">
        <f t="shared" si="63"/>
        <v>829</v>
      </c>
      <c r="F196" s="3">
        <f>Habitat!$D$13*D196</f>
        <v>29.68</v>
      </c>
      <c r="G196" s="3">
        <f t="shared" si="64"/>
        <v>0</v>
      </c>
      <c r="H196" s="3">
        <f t="shared" si="55"/>
        <v>0</v>
      </c>
      <c r="I196" s="3"/>
      <c r="J196" s="3"/>
      <c r="K196" s="3"/>
      <c r="L196" s="3">
        <f t="shared" si="65"/>
        <v>0</v>
      </c>
      <c r="M196">
        <f t="shared" si="66"/>
        <v>0</v>
      </c>
      <c r="N196" s="48">
        <f>IF(C196=1,M196*Habitat!$I$27,0)+IF(C196=2,M196*Habitat!$J$27,0)+IF(C196=3,M196*Habitat!$K$27,0)+IF(C196=4,M196*Habitat!$L$27,0)+IF(C196=5,M196*Habitat!$M$27,0)</f>
        <v>0</v>
      </c>
      <c r="O196" s="48">
        <f>IF(C196=1,M196*Habitat!$I$26,0)+IF(C196=2,M196*Habitat!$J$26,0)+IF(C196=3,M196*Habitat!$K$26,0)+IF(C196=4,M196*Habitat!$L$26,0)+IF(C196=5,M196*Habitat!$M$26,0)</f>
        <v>0</v>
      </c>
      <c r="P196" s="48">
        <f>IF(C196=1,M196*Habitat!$I$25,0)+IF(C196=2,M196*Habitat!$J$25,0)+IF(C196=3,M196*Habitat!$K$25,0)+IF(C196=4,M196*Habitat!$L$25,0)+IF(C196=5,M196*Habitat!$M$25,0)</f>
        <v>0</v>
      </c>
      <c r="Q196" s="48">
        <f>IF(C196=1,M196*Habitat!$I$28,0)+IF(C196=2,M196*Habitat!$J$28,0)+IF(C196=3,M196*Habitat!$K$28,0)+IF(C196=4,M196*Habitat!$L$28,0)+IF(C196=5,M196*Habitat!$M$28,0)</f>
        <v>0</v>
      </c>
      <c r="R196" s="48">
        <f>IF(C196=1,M196*Habitat!$I$29,0)+IF(C196=2,M196*Habitat!$J$29,0)+IF(C196=3,M196*Habitat!$K$29,0)+IF(C196=4,M196*Habitat!$L$29,0)+IF(C196=5,M196*Habitat!$M$29,0)</f>
        <v>0</v>
      </c>
      <c r="S196">
        <f>IF(C196=1,M196*Habitat!$I$30,0)+IF(C196=2,M196*Habitat!$J$30,0)+IF(C196=3,M196*Habitat!$K$30,0)+IF(C196=4,M196*Habitat!$L$30,0)+IF(C196=5,M196*Habitat!$M$30,0)</f>
        <v>0</v>
      </c>
    </row>
    <row r="197" spans="1:19">
      <c r="A197">
        <f t="shared" si="59"/>
        <v>187</v>
      </c>
      <c r="C197" s="5">
        <v>3</v>
      </c>
      <c r="D197" s="56">
        <f>D196+Habitat!$C$16</f>
        <v>1065</v>
      </c>
      <c r="E197" s="48">
        <f t="shared" si="63"/>
        <v>834</v>
      </c>
      <c r="F197" s="3">
        <f>Habitat!$D$13*D197</f>
        <v>29.82</v>
      </c>
      <c r="G197" s="3">
        <f t="shared" si="64"/>
        <v>0</v>
      </c>
      <c r="H197" s="3">
        <f t="shared" si="55"/>
        <v>0</v>
      </c>
      <c r="I197" s="3"/>
      <c r="J197" s="3"/>
      <c r="K197" s="3"/>
      <c r="L197" s="3">
        <f t="shared" si="65"/>
        <v>0</v>
      </c>
      <c r="M197">
        <f t="shared" si="66"/>
        <v>0</v>
      </c>
      <c r="N197" s="48">
        <f>IF(C197=1,M197*Habitat!$I$27,0)+IF(C197=2,M197*Habitat!$J$27,0)+IF(C197=3,M197*Habitat!$K$27,0)+IF(C197=4,M197*Habitat!$L$27,0)+IF(C197=5,M197*Habitat!$M$27,0)</f>
        <v>0</v>
      </c>
      <c r="O197" s="48">
        <f>IF(C197=1,M197*Habitat!$I$26,0)+IF(C197=2,M197*Habitat!$J$26,0)+IF(C197=3,M197*Habitat!$K$26,0)+IF(C197=4,M197*Habitat!$L$26,0)+IF(C197=5,M197*Habitat!$M$26,0)</f>
        <v>0</v>
      </c>
      <c r="P197" s="48">
        <f>IF(C197=1,M197*Habitat!$I$25,0)+IF(C197=2,M197*Habitat!$J$25,0)+IF(C197=3,M197*Habitat!$K$25,0)+IF(C197=4,M197*Habitat!$L$25,0)+IF(C197=5,M197*Habitat!$M$25,0)</f>
        <v>0</v>
      </c>
      <c r="Q197" s="48">
        <f>IF(C197=1,M197*Habitat!$I$28,0)+IF(C197=2,M197*Habitat!$J$28,0)+IF(C197=3,M197*Habitat!$K$28,0)+IF(C197=4,M197*Habitat!$L$28,0)+IF(C197=5,M197*Habitat!$M$28,0)</f>
        <v>0</v>
      </c>
      <c r="R197" s="48">
        <f>IF(C197=1,M197*Habitat!$I$29,0)+IF(C197=2,M197*Habitat!$J$29,0)+IF(C197=3,M197*Habitat!$K$29,0)+IF(C197=4,M197*Habitat!$L$29,0)+IF(C197=5,M197*Habitat!$M$29,0)</f>
        <v>0</v>
      </c>
      <c r="S197">
        <f>IF(C197=1,M197*Habitat!$I$30,0)+IF(C197=2,M197*Habitat!$J$30,0)+IF(C197=3,M197*Habitat!$K$30,0)+IF(C197=4,M197*Habitat!$L$30,0)+IF(C197=5,M197*Habitat!$M$30,0)</f>
        <v>0</v>
      </c>
    </row>
    <row r="198" spans="1:19">
      <c r="A198">
        <f t="shared" si="59"/>
        <v>188</v>
      </c>
      <c r="C198" s="5">
        <v>3</v>
      </c>
      <c r="D198" s="56">
        <f>D197+Habitat!$C$16</f>
        <v>1070</v>
      </c>
      <c r="E198" s="48">
        <f t="shared" si="63"/>
        <v>839</v>
      </c>
      <c r="F198" s="3">
        <f>Habitat!$D$13*D198</f>
        <v>29.96</v>
      </c>
      <c r="G198" s="3">
        <f t="shared" si="64"/>
        <v>0</v>
      </c>
      <c r="H198" s="3">
        <f t="shared" si="55"/>
        <v>0</v>
      </c>
      <c r="I198" s="3"/>
      <c r="J198" s="3"/>
      <c r="K198" s="3"/>
      <c r="L198" s="3">
        <f t="shared" si="65"/>
        <v>0</v>
      </c>
      <c r="M198">
        <f t="shared" si="66"/>
        <v>0</v>
      </c>
      <c r="N198" s="48">
        <f>IF(C198=1,M198*Habitat!$I$27,0)+IF(C198=2,M198*Habitat!$J$27,0)+IF(C198=3,M198*Habitat!$K$27,0)+IF(C198=4,M198*Habitat!$L$27,0)+IF(C198=5,M198*Habitat!$M$27,0)</f>
        <v>0</v>
      </c>
      <c r="O198" s="48">
        <f>IF(C198=1,M198*Habitat!$I$26,0)+IF(C198=2,M198*Habitat!$J$26,0)+IF(C198=3,M198*Habitat!$K$26,0)+IF(C198=4,M198*Habitat!$L$26,0)+IF(C198=5,M198*Habitat!$M$26,0)</f>
        <v>0</v>
      </c>
      <c r="P198" s="48">
        <f>IF(C198=1,M198*Habitat!$I$25,0)+IF(C198=2,M198*Habitat!$J$25,0)+IF(C198=3,M198*Habitat!$K$25,0)+IF(C198=4,M198*Habitat!$L$25,0)+IF(C198=5,M198*Habitat!$M$25,0)</f>
        <v>0</v>
      </c>
      <c r="Q198" s="48">
        <f>IF(C198=1,M198*Habitat!$I$28,0)+IF(C198=2,M198*Habitat!$J$28,0)+IF(C198=3,M198*Habitat!$K$28,0)+IF(C198=4,M198*Habitat!$L$28,0)+IF(C198=5,M198*Habitat!$M$28,0)</f>
        <v>0</v>
      </c>
      <c r="R198" s="48">
        <f>IF(C198=1,M198*Habitat!$I$29,0)+IF(C198=2,M198*Habitat!$J$29,0)+IF(C198=3,M198*Habitat!$K$29,0)+IF(C198=4,M198*Habitat!$L$29,0)+IF(C198=5,M198*Habitat!$M$29,0)</f>
        <v>0</v>
      </c>
      <c r="S198">
        <f>IF(C198=1,M198*Habitat!$I$30,0)+IF(C198=2,M198*Habitat!$J$30,0)+IF(C198=3,M198*Habitat!$K$30,0)+IF(C198=4,M198*Habitat!$L$30,0)+IF(C198=5,M198*Habitat!$M$30,0)</f>
        <v>0</v>
      </c>
    </row>
    <row r="199" spans="1:19">
      <c r="A199">
        <f t="shared" si="59"/>
        <v>189</v>
      </c>
      <c r="C199" s="5">
        <v>3</v>
      </c>
      <c r="D199" s="56">
        <f>D198+Habitat!$C$16</f>
        <v>1075</v>
      </c>
      <c r="E199" s="48">
        <f t="shared" si="63"/>
        <v>844</v>
      </c>
      <c r="F199" s="3">
        <f>Habitat!$D$13*D199</f>
        <v>30.1</v>
      </c>
      <c r="G199" s="3">
        <f t="shared" si="64"/>
        <v>0</v>
      </c>
      <c r="H199" s="3">
        <f t="shared" si="55"/>
        <v>0</v>
      </c>
      <c r="I199" s="3"/>
      <c r="J199" s="3"/>
      <c r="K199" s="3"/>
      <c r="L199" s="3">
        <f t="shared" si="65"/>
        <v>0</v>
      </c>
      <c r="M199">
        <f t="shared" si="66"/>
        <v>0</v>
      </c>
      <c r="N199" s="48">
        <f>IF(C199=1,M199*Habitat!$I$27,0)+IF(C199=2,M199*Habitat!$J$27,0)+IF(C199=3,M199*Habitat!$K$27,0)+IF(C199=4,M199*Habitat!$L$27,0)+IF(C199=5,M199*Habitat!$M$27,0)</f>
        <v>0</v>
      </c>
      <c r="O199" s="48">
        <f>IF(C199=1,M199*Habitat!$I$26,0)+IF(C199=2,M199*Habitat!$J$26,0)+IF(C199=3,M199*Habitat!$K$26,0)+IF(C199=4,M199*Habitat!$L$26,0)+IF(C199=5,M199*Habitat!$M$26,0)</f>
        <v>0</v>
      </c>
      <c r="P199" s="48">
        <f>IF(C199=1,M199*Habitat!$I$25,0)+IF(C199=2,M199*Habitat!$J$25,0)+IF(C199=3,M199*Habitat!$K$25,0)+IF(C199=4,M199*Habitat!$L$25,0)+IF(C199=5,M199*Habitat!$M$25,0)</f>
        <v>0</v>
      </c>
      <c r="Q199" s="48">
        <f>IF(C199=1,M199*Habitat!$I$28,0)+IF(C199=2,M199*Habitat!$J$28,0)+IF(C199=3,M199*Habitat!$K$28,0)+IF(C199=4,M199*Habitat!$L$28,0)+IF(C199=5,M199*Habitat!$M$28,0)</f>
        <v>0</v>
      </c>
      <c r="R199" s="48">
        <f>IF(C199=1,M199*Habitat!$I$29,0)+IF(C199=2,M199*Habitat!$J$29,0)+IF(C199=3,M199*Habitat!$K$29,0)+IF(C199=4,M199*Habitat!$L$29,0)+IF(C199=5,M199*Habitat!$M$29,0)</f>
        <v>0</v>
      </c>
      <c r="S199">
        <f>IF(C199=1,M199*Habitat!$I$30,0)+IF(C199=2,M199*Habitat!$J$30,0)+IF(C199=3,M199*Habitat!$K$30,0)+IF(C199=4,M199*Habitat!$L$30,0)+IF(C199=5,M199*Habitat!$M$30,0)</f>
        <v>0</v>
      </c>
    </row>
    <row r="200" spans="1:19">
      <c r="A200">
        <f t="shared" si="59"/>
        <v>190</v>
      </c>
      <c r="C200" s="5">
        <v>3</v>
      </c>
      <c r="D200" s="56">
        <f>D199+Habitat!$C$16</f>
        <v>1080</v>
      </c>
      <c r="E200" s="48">
        <f t="shared" si="63"/>
        <v>849</v>
      </c>
      <c r="F200" s="3">
        <f>Habitat!$D$13*D200</f>
        <v>30.240000000000002</v>
      </c>
      <c r="G200" s="3">
        <f t="shared" si="64"/>
        <v>0</v>
      </c>
      <c r="H200" s="3">
        <f t="shared" si="55"/>
        <v>0</v>
      </c>
      <c r="I200" s="3"/>
      <c r="J200" s="3"/>
      <c r="K200" s="3"/>
      <c r="L200" s="3">
        <f t="shared" si="65"/>
        <v>0</v>
      </c>
      <c r="M200">
        <f t="shared" si="66"/>
        <v>0</v>
      </c>
      <c r="N200" s="48">
        <f>IF(C200=1,M200*Habitat!$I$27,0)+IF(C200=2,M200*Habitat!$J$27,0)+IF(C200=3,M200*Habitat!$K$27,0)+IF(C200=4,M200*Habitat!$L$27,0)+IF(C200=5,M200*Habitat!$M$27,0)</f>
        <v>0</v>
      </c>
      <c r="O200" s="48">
        <f>IF(C200=1,M200*Habitat!$I$26,0)+IF(C200=2,M200*Habitat!$J$26,0)+IF(C200=3,M200*Habitat!$K$26,0)+IF(C200=4,M200*Habitat!$L$26,0)+IF(C200=5,M200*Habitat!$M$26,0)</f>
        <v>0</v>
      </c>
      <c r="P200" s="48">
        <f>IF(C200=1,M200*Habitat!$I$25,0)+IF(C200=2,M200*Habitat!$J$25,0)+IF(C200=3,M200*Habitat!$K$25,0)+IF(C200=4,M200*Habitat!$L$25,0)+IF(C200=5,M200*Habitat!$M$25,0)</f>
        <v>0</v>
      </c>
      <c r="Q200" s="48">
        <f>IF(C200=1,M200*Habitat!$I$28,0)+IF(C200=2,M200*Habitat!$J$28,0)+IF(C200=3,M200*Habitat!$K$28,0)+IF(C200=4,M200*Habitat!$L$28,0)+IF(C200=5,M200*Habitat!$M$28,0)</f>
        <v>0</v>
      </c>
      <c r="R200" s="48">
        <f>IF(C200=1,M200*Habitat!$I$29,0)+IF(C200=2,M200*Habitat!$J$29,0)+IF(C200=3,M200*Habitat!$K$29,0)+IF(C200=4,M200*Habitat!$L$29,0)+IF(C200=5,M200*Habitat!$M$29,0)</f>
        <v>0</v>
      </c>
      <c r="S200">
        <f>IF(C200=1,M200*Habitat!$I$30,0)+IF(C200=2,M200*Habitat!$J$30,0)+IF(C200=3,M200*Habitat!$K$30,0)+IF(C200=4,M200*Habitat!$L$30,0)+IF(C200=5,M200*Habitat!$M$30,0)</f>
        <v>0</v>
      </c>
    </row>
    <row r="201" spans="1:19">
      <c r="A201">
        <f t="shared" si="59"/>
        <v>191</v>
      </c>
      <c r="C201" s="5">
        <v>3</v>
      </c>
      <c r="D201" s="56">
        <f>D200+Habitat!$C$16</f>
        <v>1085</v>
      </c>
      <c r="E201" s="48">
        <f t="shared" si="63"/>
        <v>854</v>
      </c>
      <c r="F201" s="3">
        <f>Habitat!$D$13*D201</f>
        <v>30.38</v>
      </c>
      <c r="G201" s="3">
        <f t="shared" si="64"/>
        <v>0</v>
      </c>
      <c r="H201" s="3">
        <f t="shared" si="55"/>
        <v>0</v>
      </c>
      <c r="I201" s="3"/>
      <c r="J201" s="3"/>
      <c r="K201" s="3"/>
      <c r="L201" s="3">
        <f t="shared" si="65"/>
        <v>0</v>
      </c>
      <c r="M201">
        <f t="shared" si="66"/>
        <v>0</v>
      </c>
      <c r="N201" s="48">
        <f>IF(C201=1,M201*Habitat!$I$27,0)+IF(C201=2,M201*Habitat!$J$27,0)+IF(C201=3,M201*Habitat!$K$27,0)+IF(C201=4,M201*Habitat!$L$27,0)+IF(C201=5,M201*Habitat!$M$27,0)</f>
        <v>0</v>
      </c>
      <c r="O201" s="48">
        <f>IF(C201=1,M201*Habitat!$I$26,0)+IF(C201=2,M201*Habitat!$J$26,0)+IF(C201=3,M201*Habitat!$K$26,0)+IF(C201=4,M201*Habitat!$L$26,0)+IF(C201=5,M201*Habitat!$M$26,0)</f>
        <v>0</v>
      </c>
      <c r="P201" s="48">
        <f>IF(C201=1,M201*Habitat!$I$25,0)+IF(C201=2,M201*Habitat!$J$25,0)+IF(C201=3,M201*Habitat!$K$25,0)+IF(C201=4,M201*Habitat!$L$25,0)+IF(C201=5,M201*Habitat!$M$25,0)</f>
        <v>0</v>
      </c>
      <c r="Q201" s="48">
        <f>IF(C201=1,M201*Habitat!$I$28,0)+IF(C201=2,M201*Habitat!$J$28,0)+IF(C201=3,M201*Habitat!$K$28,0)+IF(C201=4,M201*Habitat!$L$28,0)+IF(C201=5,M201*Habitat!$M$28,0)</f>
        <v>0</v>
      </c>
      <c r="R201" s="48">
        <f>IF(C201=1,M201*Habitat!$I$29,0)+IF(C201=2,M201*Habitat!$J$29,0)+IF(C201=3,M201*Habitat!$K$29,0)+IF(C201=4,M201*Habitat!$L$29,0)+IF(C201=5,M201*Habitat!$M$29,0)</f>
        <v>0</v>
      </c>
      <c r="S201">
        <f>IF(C201=1,M201*Habitat!$I$30,0)+IF(C201=2,M201*Habitat!$J$30,0)+IF(C201=3,M201*Habitat!$K$30,0)+IF(C201=4,M201*Habitat!$L$30,0)+IF(C201=5,M201*Habitat!$M$30,0)</f>
        <v>0</v>
      </c>
    </row>
    <row r="202" spans="1:19">
      <c r="A202">
        <f t="shared" si="59"/>
        <v>192</v>
      </c>
      <c r="C202" s="5">
        <v>3</v>
      </c>
      <c r="D202" s="56">
        <f>D201+Habitat!$C$16</f>
        <v>1090</v>
      </c>
      <c r="E202" s="48">
        <f t="shared" si="63"/>
        <v>859</v>
      </c>
      <c r="F202" s="3">
        <f>Habitat!$D$13*D202</f>
        <v>30.52</v>
      </c>
      <c r="G202" s="3">
        <f t="shared" si="64"/>
        <v>0</v>
      </c>
      <c r="H202" s="3">
        <f t="shared" si="55"/>
        <v>0</v>
      </c>
      <c r="I202" s="3"/>
      <c r="J202" s="3"/>
      <c r="K202" s="3"/>
      <c r="L202" s="3">
        <f t="shared" si="65"/>
        <v>0</v>
      </c>
      <c r="M202">
        <f t="shared" si="66"/>
        <v>0</v>
      </c>
      <c r="N202" s="48">
        <f>IF(C202=1,M202*Habitat!$I$27,0)+IF(C202=2,M202*Habitat!$J$27,0)+IF(C202=3,M202*Habitat!$K$27,0)+IF(C202=4,M202*Habitat!$L$27,0)+IF(C202=5,M202*Habitat!$M$27,0)</f>
        <v>0</v>
      </c>
      <c r="O202" s="48">
        <f>IF(C202=1,M202*Habitat!$I$26,0)+IF(C202=2,M202*Habitat!$J$26,0)+IF(C202=3,M202*Habitat!$K$26,0)+IF(C202=4,M202*Habitat!$L$26,0)+IF(C202=5,M202*Habitat!$M$26,0)</f>
        <v>0</v>
      </c>
      <c r="P202" s="48">
        <f>IF(C202=1,M202*Habitat!$I$25,0)+IF(C202=2,M202*Habitat!$J$25,0)+IF(C202=3,M202*Habitat!$K$25,0)+IF(C202=4,M202*Habitat!$L$25,0)+IF(C202=5,M202*Habitat!$M$25,0)</f>
        <v>0</v>
      </c>
      <c r="Q202" s="48">
        <f>IF(C202=1,M202*Habitat!$I$28,0)+IF(C202=2,M202*Habitat!$J$28,0)+IF(C202=3,M202*Habitat!$K$28,0)+IF(C202=4,M202*Habitat!$L$28,0)+IF(C202=5,M202*Habitat!$M$28,0)</f>
        <v>0</v>
      </c>
      <c r="R202" s="48">
        <f>IF(C202=1,M202*Habitat!$I$29,0)+IF(C202=2,M202*Habitat!$J$29,0)+IF(C202=3,M202*Habitat!$K$29,0)+IF(C202=4,M202*Habitat!$L$29,0)+IF(C202=5,M202*Habitat!$M$29,0)</f>
        <v>0</v>
      </c>
      <c r="S202">
        <f>IF(C202=1,M202*Habitat!$I$30,0)+IF(C202=2,M202*Habitat!$J$30,0)+IF(C202=3,M202*Habitat!$K$30,0)+IF(C202=4,M202*Habitat!$L$30,0)+IF(C202=5,M202*Habitat!$M$30,0)</f>
        <v>0</v>
      </c>
    </row>
    <row r="203" spans="1:19">
      <c r="A203">
        <f t="shared" si="59"/>
        <v>193</v>
      </c>
      <c r="C203" s="5">
        <v>3</v>
      </c>
      <c r="D203" s="56">
        <f>D202+Habitat!$C$16</f>
        <v>1095</v>
      </c>
      <c r="E203" s="48">
        <f t="shared" si="63"/>
        <v>864</v>
      </c>
      <c r="F203" s="3">
        <f>Habitat!$D$13*D203</f>
        <v>30.66</v>
      </c>
      <c r="G203" s="3">
        <f t="shared" ref="G203:G212" si="67">IF(H203&gt;0,F203/9.8,0)</f>
        <v>0</v>
      </c>
      <c r="H203" s="3">
        <f t="shared" ref="H203:H212" si="68">IF(E203&lt;=$C$5,SQRT($C$5^2-E203^2),0)</f>
        <v>0</v>
      </c>
      <c r="I203" s="3"/>
      <c r="J203" s="3"/>
      <c r="K203" s="3"/>
      <c r="L203" s="3">
        <f t="shared" ref="L203:L212" si="69">IF(H203&gt;0,1,0)</f>
        <v>0</v>
      </c>
      <c r="M203">
        <f t="shared" ref="M203:M212" si="70">PI()*H203*H203</f>
        <v>0</v>
      </c>
      <c r="N203" s="48">
        <f>IF(C203=1,M203*Habitat!$I$27,0)+IF(C203=2,M203*Habitat!$J$27,0)+IF(C203=3,M203*Habitat!$K$27,0)+IF(C203=4,M203*Habitat!$L$27,0)+IF(C203=5,M203*Habitat!$M$27,0)</f>
        <v>0</v>
      </c>
      <c r="O203" s="48">
        <f>IF(C203=1,M203*Habitat!$I$26,0)+IF(C203=2,M203*Habitat!$J$26,0)+IF(C203=3,M203*Habitat!$K$26,0)+IF(C203=4,M203*Habitat!$L$26,0)+IF(C203=5,M203*Habitat!$M$26,0)</f>
        <v>0</v>
      </c>
      <c r="P203" s="48">
        <f>IF(C203=1,M203*Habitat!$I$25,0)+IF(C203=2,M203*Habitat!$J$25,0)+IF(C203=3,M203*Habitat!$K$25,0)+IF(C203=4,M203*Habitat!$L$25,0)+IF(C203=5,M203*Habitat!$M$25,0)</f>
        <v>0</v>
      </c>
      <c r="Q203" s="48">
        <f>IF(C203=1,M203*Habitat!$I$28,0)+IF(C203=2,M203*Habitat!$J$28,0)+IF(C203=3,M203*Habitat!$K$28,0)+IF(C203=4,M203*Habitat!$L$28,0)+IF(C203=5,M203*Habitat!$M$28,0)</f>
        <v>0</v>
      </c>
      <c r="R203" s="48">
        <f>IF(C203=1,M203*Habitat!$I$29,0)+IF(C203=2,M203*Habitat!$J$29,0)+IF(C203=3,M203*Habitat!$K$29,0)+IF(C203=4,M203*Habitat!$L$29,0)+IF(C203=5,M203*Habitat!$M$29,0)</f>
        <v>0</v>
      </c>
      <c r="S203">
        <f>IF(C203=1,M203*Habitat!$I$30,0)+IF(C203=2,M203*Habitat!$J$30,0)+IF(C203=3,M203*Habitat!$K$30,0)+IF(C203=4,M203*Habitat!$L$30,0)+IF(C203=5,M203*Habitat!$M$30,0)</f>
        <v>0</v>
      </c>
    </row>
    <row r="204" spans="1:19">
      <c r="A204">
        <f t="shared" si="59"/>
        <v>194</v>
      </c>
      <c r="C204" s="5">
        <v>3</v>
      </c>
      <c r="D204" s="56">
        <f>D203+Habitat!$C$16</f>
        <v>1100</v>
      </c>
      <c r="E204" s="48">
        <f t="shared" si="63"/>
        <v>869</v>
      </c>
      <c r="F204" s="3">
        <f>Habitat!$D$13*D204</f>
        <v>30.8</v>
      </c>
      <c r="G204" s="3">
        <f t="shared" si="67"/>
        <v>0</v>
      </c>
      <c r="H204" s="3">
        <f t="shared" si="68"/>
        <v>0</v>
      </c>
      <c r="I204" s="3"/>
      <c r="J204" s="3"/>
      <c r="K204" s="3"/>
      <c r="L204" s="3">
        <f t="shared" si="69"/>
        <v>0</v>
      </c>
      <c r="M204">
        <f t="shared" si="70"/>
        <v>0</v>
      </c>
      <c r="N204" s="48">
        <f>IF(C204=1,M204*Habitat!$I$27,0)+IF(C204=2,M204*Habitat!$J$27,0)+IF(C204=3,M204*Habitat!$K$27,0)+IF(C204=4,M204*Habitat!$L$27,0)+IF(C204=5,M204*Habitat!$M$27,0)</f>
        <v>0</v>
      </c>
      <c r="O204" s="48">
        <f>IF(C204=1,M204*Habitat!$I$26,0)+IF(C204=2,M204*Habitat!$J$26,0)+IF(C204=3,M204*Habitat!$K$26,0)+IF(C204=4,M204*Habitat!$L$26,0)+IF(C204=5,M204*Habitat!$M$26,0)</f>
        <v>0</v>
      </c>
      <c r="P204" s="48">
        <f>IF(C204=1,M204*Habitat!$I$25,0)+IF(C204=2,M204*Habitat!$J$25,0)+IF(C204=3,M204*Habitat!$K$25,0)+IF(C204=4,M204*Habitat!$L$25,0)+IF(C204=5,M204*Habitat!$M$25,0)</f>
        <v>0</v>
      </c>
      <c r="Q204" s="48">
        <f>IF(C204=1,M204*Habitat!$I$28,0)+IF(C204=2,M204*Habitat!$J$28,0)+IF(C204=3,M204*Habitat!$K$28,0)+IF(C204=4,M204*Habitat!$L$28,0)+IF(C204=5,M204*Habitat!$M$28,0)</f>
        <v>0</v>
      </c>
      <c r="R204" s="48">
        <f>IF(C204=1,M204*Habitat!$I$29,0)+IF(C204=2,M204*Habitat!$J$29,0)+IF(C204=3,M204*Habitat!$K$29,0)+IF(C204=4,M204*Habitat!$L$29,0)+IF(C204=5,M204*Habitat!$M$29,0)</f>
        <v>0</v>
      </c>
      <c r="S204">
        <f>IF(C204=1,M204*Habitat!$I$30,0)+IF(C204=2,M204*Habitat!$J$30,0)+IF(C204=3,M204*Habitat!$K$30,0)+IF(C204=4,M204*Habitat!$L$30,0)+IF(C204=5,M204*Habitat!$M$30,0)</f>
        <v>0</v>
      </c>
    </row>
    <row r="205" spans="1:19">
      <c r="A205">
        <f t="shared" si="59"/>
        <v>195</v>
      </c>
      <c r="C205" s="5">
        <v>3</v>
      </c>
      <c r="D205" s="56">
        <f>D204+Habitat!$C$16</f>
        <v>1105</v>
      </c>
      <c r="E205" s="48">
        <f t="shared" si="63"/>
        <v>874</v>
      </c>
      <c r="F205" s="3">
        <f>Habitat!$D$13*D205</f>
        <v>30.94</v>
      </c>
      <c r="G205" s="3">
        <f t="shared" si="67"/>
        <v>0</v>
      </c>
      <c r="H205" s="3">
        <f t="shared" si="68"/>
        <v>0</v>
      </c>
      <c r="I205" s="3"/>
      <c r="J205" s="3"/>
      <c r="K205" s="3"/>
      <c r="L205" s="3">
        <f t="shared" si="69"/>
        <v>0</v>
      </c>
      <c r="M205">
        <f t="shared" si="70"/>
        <v>0</v>
      </c>
      <c r="N205" s="48">
        <f>IF(C205=1,M205*Habitat!$I$27,0)+IF(C205=2,M205*Habitat!$J$27,0)+IF(C205=3,M205*Habitat!$K$27,0)+IF(C205=4,M205*Habitat!$L$27,0)+IF(C205=5,M205*Habitat!$M$27,0)</f>
        <v>0</v>
      </c>
      <c r="O205" s="48">
        <f>IF(C205=1,M205*Habitat!$I$26,0)+IF(C205=2,M205*Habitat!$J$26,0)+IF(C205=3,M205*Habitat!$K$26,0)+IF(C205=4,M205*Habitat!$L$26,0)+IF(C205=5,M205*Habitat!$M$26,0)</f>
        <v>0</v>
      </c>
      <c r="P205" s="48">
        <f>IF(C205=1,M205*Habitat!$I$25,0)+IF(C205=2,M205*Habitat!$J$25,0)+IF(C205=3,M205*Habitat!$K$25,0)+IF(C205=4,M205*Habitat!$L$25,0)+IF(C205=5,M205*Habitat!$M$25,0)</f>
        <v>0</v>
      </c>
      <c r="Q205" s="48">
        <f>IF(C205=1,M205*Habitat!$I$28,0)+IF(C205=2,M205*Habitat!$J$28,0)+IF(C205=3,M205*Habitat!$K$28,0)+IF(C205=4,M205*Habitat!$L$28,0)+IF(C205=5,M205*Habitat!$M$28,0)</f>
        <v>0</v>
      </c>
      <c r="R205" s="48">
        <f>IF(C205=1,M205*Habitat!$I$29,0)+IF(C205=2,M205*Habitat!$J$29,0)+IF(C205=3,M205*Habitat!$K$29,0)+IF(C205=4,M205*Habitat!$L$29,0)+IF(C205=5,M205*Habitat!$M$29,0)</f>
        <v>0</v>
      </c>
      <c r="S205">
        <f>IF(C205=1,M205*Habitat!$I$30,0)+IF(C205=2,M205*Habitat!$J$30,0)+IF(C205=3,M205*Habitat!$K$30,0)+IF(C205=4,M205*Habitat!$L$30,0)+IF(C205=5,M205*Habitat!$M$30,0)</f>
        <v>0</v>
      </c>
    </row>
    <row r="206" spans="1:19">
      <c r="A206">
        <f t="shared" si="59"/>
        <v>196</v>
      </c>
      <c r="C206" s="5">
        <v>3</v>
      </c>
      <c r="D206" s="56">
        <f>D205+Habitat!$C$16</f>
        <v>1110</v>
      </c>
      <c r="E206" s="48">
        <f t="shared" si="63"/>
        <v>879</v>
      </c>
      <c r="F206" s="3">
        <f>Habitat!$D$13*D206</f>
        <v>31.080000000000002</v>
      </c>
      <c r="G206" s="3">
        <f t="shared" si="67"/>
        <v>0</v>
      </c>
      <c r="H206" s="3">
        <f t="shared" si="68"/>
        <v>0</v>
      </c>
      <c r="I206" s="3"/>
      <c r="J206" s="3"/>
      <c r="K206" s="3"/>
      <c r="L206" s="3">
        <f t="shared" si="69"/>
        <v>0</v>
      </c>
      <c r="M206">
        <f t="shared" si="70"/>
        <v>0</v>
      </c>
      <c r="N206" s="48">
        <f>IF(C206=1,M206*Habitat!$I$27,0)+IF(C206=2,M206*Habitat!$J$27,0)+IF(C206=3,M206*Habitat!$K$27,0)+IF(C206=4,M206*Habitat!$L$27,0)+IF(C206=5,M206*Habitat!$M$27,0)</f>
        <v>0</v>
      </c>
      <c r="O206" s="48">
        <f>IF(C206=1,M206*Habitat!$I$26,0)+IF(C206=2,M206*Habitat!$J$26,0)+IF(C206=3,M206*Habitat!$K$26,0)+IF(C206=4,M206*Habitat!$L$26,0)+IF(C206=5,M206*Habitat!$M$26,0)</f>
        <v>0</v>
      </c>
      <c r="P206" s="48">
        <f>IF(C206=1,M206*Habitat!$I$25,0)+IF(C206=2,M206*Habitat!$J$25,0)+IF(C206=3,M206*Habitat!$K$25,0)+IF(C206=4,M206*Habitat!$L$25,0)+IF(C206=5,M206*Habitat!$M$25,0)</f>
        <v>0</v>
      </c>
      <c r="Q206" s="48">
        <f>IF(C206=1,M206*Habitat!$I$28,0)+IF(C206=2,M206*Habitat!$J$28,0)+IF(C206=3,M206*Habitat!$K$28,0)+IF(C206=4,M206*Habitat!$L$28,0)+IF(C206=5,M206*Habitat!$M$28,0)</f>
        <v>0</v>
      </c>
      <c r="R206" s="48">
        <f>IF(C206=1,M206*Habitat!$I$29,0)+IF(C206=2,M206*Habitat!$J$29,0)+IF(C206=3,M206*Habitat!$K$29,0)+IF(C206=4,M206*Habitat!$L$29,0)+IF(C206=5,M206*Habitat!$M$29,0)</f>
        <v>0</v>
      </c>
      <c r="S206">
        <f>IF(C206=1,M206*Habitat!$I$30,0)+IF(C206=2,M206*Habitat!$J$30,0)+IF(C206=3,M206*Habitat!$K$30,0)+IF(C206=4,M206*Habitat!$L$30,0)+IF(C206=5,M206*Habitat!$M$30,0)</f>
        <v>0</v>
      </c>
    </row>
    <row r="207" spans="1:19">
      <c r="A207">
        <f t="shared" si="59"/>
        <v>197</v>
      </c>
      <c r="C207" s="5">
        <v>3</v>
      </c>
      <c r="D207" s="56">
        <f>D206+Habitat!$C$16</f>
        <v>1115</v>
      </c>
      <c r="E207" s="48">
        <f t="shared" si="63"/>
        <v>884</v>
      </c>
      <c r="F207" s="3">
        <f>Habitat!$D$13*D207</f>
        <v>31.220000000000002</v>
      </c>
      <c r="G207" s="3">
        <f t="shared" si="67"/>
        <v>0</v>
      </c>
      <c r="H207" s="3">
        <f t="shared" si="68"/>
        <v>0</v>
      </c>
      <c r="I207" s="3"/>
      <c r="J207" s="3"/>
      <c r="K207" s="3"/>
      <c r="L207" s="3">
        <f t="shared" si="69"/>
        <v>0</v>
      </c>
      <c r="M207">
        <f t="shared" si="70"/>
        <v>0</v>
      </c>
      <c r="N207" s="48">
        <f>IF(C207=1,M207*Habitat!$I$27,0)+IF(C207=2,M207*Habitat!$J$27,0)+IF(C207=3,M207*Habitat!$K$27,0)+IF(C207=4,M207*Habitat!$L$27,0)+IF(C207=5,M207*Habitat!$M$27,0)</f>
        <v>0</v>
      </c>
      <c r="O207" s="48">
        <f>IF(C207=1,M207*Habitat!$I$26,0)+IF(C207=2,M207*Habitat!$J$26,0)+IF(C207=3,M207*Habitat!$K$26,0)+IF(C207=4,M207*Habitat!$L$26,0)+IF(C207=5,M207*Habitat!$M$26,0)</f>
        <v>0</v>
      </c>
      <c r="P207" s="48">
        <f>IF(C207=1,M207*Habitat!$I$25,0)+IF(C207=2,M207*Habitat!$J$25,0)+IF(C207=3,M207*Habitat!$K$25,0)+IF(C207=4,M207*Habitat!$L$25,0)+IF(C207=5,M207*Habitat!$M$25,0)</f>
        <v>0</v>
      </c>
      <c r="Q207" s="48">
        <f>IF(C207=1,M207*Habitat!$I$28,0)+IF(C207=2,M207*Habitat!$J$28,0)+IF(C207=3,M207*Habitat!$K$28,0)+IF(C207=4,M207*Habitat!$L$28,0)+IF(C207=5,M207*Habitat!$M$28,0)</f>
        <v>0</v>
      </c>
      <c r="R207" s="48">
        <f>IF(C207=1,M207*Habitat!$I$29,0)+IF(C207=2,M207*Habitat!$J$29,0)+IF(C207=3,M207*Habitat!$K$29,0)+IF(C207=4,M207*Habitat!$L$29,0)+IF(C207=5,M207*Habitat!$M$29,0)</f>
        <v>0</v>
      </c>
      <c r="S207">
        <f>IF(C207=1,M207*Habitat!$I$30,0)+IF(C207=2,M207*Habitat!$J$30,0)+IF(C207=3,M207*Habitat!$K$30,0)+IF(C207=4,M207*Habitat!$L$30,0)+IF(C207=5,M207*Habitat!$M$30,0)</f>
        <v>0</v>
      </c>
    </row>
    <row r="208" spans="1:19">
      <c r="A208">
        <f t="shared" si="59"/>
        <v>198</v>
      </c>
      <c r="C208" s="5">
        <v>3</v>
      </c>
      <c r="D208" s="56">
        <f>D207+Habitat!$C$16</f>
        <v>1120</v>
      </c>
      <c r="E208" s="48">
        <f t="shared" si="63"/>
        <v>889</v>
      </c>
      <c r="F208" s="3">
        <f>Habitat!$D$13*D208</f>
        <v>31.36</v>
      </c>
      <c r="G208" s="3">
        <f t="shared" si="67"/>
        <v>0</v>
      </c>
      <c r="H208" s="3">
        <f t="shared" si="68"/>
        <v>0</v>
      </c>
      <c r="I208" s="3"/>
      <c r="J208" s="3"/>
      <c r="K208" s="3"/>
      <c r="L208" s="3">
        <f t="shared" si="69"/>
        <v>0</v>
      </c>
      <c r="M208">
        <f t="shared" si="70"/>
        <v>0</v>
      </c>
      <c r="N208" s="48">
        <f>IF(C208=1,M208*Habitat!$I$27,0)+IF(C208=2,M208*Habitat!$J$27,0)+IF(C208=3,M208*Habitat!$K$27,0)+IF(C208=4,M208*Habitat!$L$27,0)+IF(C208=5,M208*Habitat!$M$27,0)</f>
        <v>0</v>
      </c>
      <c r="O208" s="48">
        <f>IF(C208=1,M208*Habitat!$I$26,0)+IF(C208=2,M208*Habitat!$J$26,0)+IF(C208=3,M208*Habitat!$K$26,0)+IF(C208=4,M208*Habitat!$L$26,0)+IF(C208=5,M208*Habitat!$M$26,0)</f>
        <v>0</v>
      </c>
      <c r="P208" s="48">
        <f>IF(C208=1,M208*Habitat!$I$25,0)+IF(C208=2,M208*Habitat!$J$25,0)+IF(C208=3,M208*Habitat!$K$25,0)+IF(C208=4,M208*Habitat!$L$25,0)+IF(C208=5,M208*Habitat!$M$25,0)</f>
        <v>0</v>
      </c>
      <c r="Q208" s="48">
        <f>IF(C208=1,M208*Habitat!$I$28,0)+IF(C208=2,M208*Habitat!$J$28,0)+IF(C208=3,M208*Habitat!$K$28,0)+IF(C208=4,M208*Habitat!$L$28,0)+IF(C208=5,M208*Habitat!$M$28,0)</f>
        <v>0</v>
      </c>
      <c r="R208" s="48">
        <f>IF(C208=1,M208*Habitat!$I$29,0)+IF(C208=2,M208*Habitat!$J$29,0)+IF(C208=3,M208*Habitat!$K$29,0)+IF(C208=4,M208*Habitat!$L$29,0)+IF(C208=5,M208*Habitat!$M$29,0)</f>
        <v>0</v>
      </c>
      <c r="S208">
        <f>IF(C208=1,M208*Habitat!$I$30,0)+IF(C208=2,M208*Habitat!$J$30,0)+IF(C208=3,M208*Habitat!$K$30,0)+IF(C208=4,M208*Habitat!$L$30,0)+IF(C208=5,M208*Habitat!$M$30,0)</f>
        <v>0</v>
      </c>
    </row>
    <row r="209" spans="1:19">
      <c r="A209">
        <f t="shared" si="59"/>
        <v>199</v>
      </c>
      <c r="C209" s="5">
        <v>3</v>
      </c>
      <c r="D209" s="56">
        <f>D208+Habitat!$C$16</f>
        <v>1125</v>
      </c>
      <c r="E209" s="48">
        <f t="shared" si="63"/>
        <v>894</v>
      </c>
      <c r="F209" s="3">
        <f>Habitat!$D$13*D209</f>
        <v>31.5</v>
      </c>
      <c r="G209" s="3">
        <f t="shared" si="67"/>
        <v>0</v>
      </c>
      <c r="H209" s="3">
        <f t="shared" si="68"/>
        <v>0</v>
      </c>
      <c r="I209" s="3"/>
      <c r="J209" s="3"/>
      <c r="K209" s="3"/>
      <c r="L209" s="3">
        <f t="shared" si="69"/>
        <v>0</v>
      </c>
      <c r="M209">
        <f t="shared" si="70"/>
        <v>0</v>
      </c>
      <c r="N209" s="48">
        <f>IF(C209=1,M209*Habitat!$I$27,0)+IF(C209=2,M209*Habitat!$J$27,0)+IF(C209=3,M209*Habitat!$K$27,0)+IF(C209=4,M209*Habitat!$L$27,0)+IF(C209=5,M209*Habitat!$M$27,0)</f>
        <v>0</v>
      </c>
      <c r="O209" s="48">
        <f>IF(C209=1,M209*Habitat!$I$26,0)+IF(C209=2,M209*Habitat!$J$26,0)+IF(C209=3,M209*Habitat!$K$26,0)+IF(C209=4,M209*Habitat!$L$26,0)+IF(C209=5,M209*Habitat!$M$26,0)</f>
        <v>0</v>
      </c>
      <c r="P209" s="48">
        <f>IF(C209=1,M209*Habitat!$I$25,0)+IF(C209=2,M209*Habitat!$J$25,0)+IF(C209=3,M209*Habitat!$K$25,0)+IF(C209=4,M209*Habitat!$L$25,0)+IF(C209=5,M209*Habitat!$M$25,0)</f>
        <v>0</v>
      </c>
      <c r="Q209" s="48">
        <f>IF(C209=1,M209*Habitat!$I$28,0)+IF(C209=2,M209*Habitat!$J$28,0)+IF(C209=3,M209*Habitat!$K$28,0)+IF(C209=4,M209*Habitat!$L$28,0)+IF(C209=5,M209*Habitat!$M$28,0)</f>
        <v>0</v>
      </c>
      <c r="R209" s="48">
        <f>IF(C209=1,M209*Habitat!$I$29,0)+IF(C209=2,M209*Habitat!$J$29,0)+IF(C209=3,M209*Habitat!$K$29,0)+IF(C209=4,M209*Habitat!$L$29,0)+IF(C209=5,M209*Habitat!$M$29,0)</f>
        <v>0</v>
      </c>
      <c r="S209">
        <f>IF(C209=1,M209*Habitat!$I$30,0)+IF(C209=2,M209*Habitat!$J$30,0)+IF(C209=3,M209*Habitat!$K$30,0)+IF(C209=4,M209*Habitat!$L$30,0)+IF(C209=5,M209*Habitat!$M$30,0)</f>
        <v>0</v>
      </c>
    </row>
    <row r="210" spans="1:19">
      <c r="A210">
        <f t="shared" si="59"/>
        <v>200</v>
      </c>
      <c r="C210" s="5">
        <v>3</v>
      </c>
      <c r="D210" s="56">
        <f>D209+Habitat!$C$16</f>
        <v>1130</v>
      </c>
      <c r="E210" s="48">
        <f t="shared" si="63"/>
        <v>899</v>
      </c>
      <c r="F210" s="3">
        <f>Habitat!$D$13*D210</f>
        <v>31.64</v>
      </c>
      <c r="G210" s="3">
        <f t="shared" si="67"/>
        <v>0</v>
      </c>
      <c r="H210" s="3">
        <f t="shared" si="68"/>
        <v>0</v>
      </c>
      <c r="I210" s="3"/>
      <c r="J210" s="3"/>
      <c r="K210" s="3"/>
      <c r="L210" s="3">
        <f t="shared" si="69"/>
        <v>0</v>
      </c>
      <c r="M210">
        <f t="shared" si="70"/>
        <v>0</v>
      </c>
      <c r="N210" s="48">
        <f>IF(C210=1,M210*Habitat!$I$27,0)+IF(C210=2,M210*Habitat!$J$27,0)+IF(C210=3,M210*Habitat!$K$27,0)+IF(C210=4,M210*Habitat!$L$27,0)+IF(C210=5,M210*Habitat!$M$27,0)</f>
        <v>0</v>
      </c>
      <c r="O210" s="48">
        <f>IF(C210=1,M210*Habitat!$I$26,0)+IF(C210=2,M210*Habitat!$J$26,0)+IF(C210=3,M210*Habitat!$K$26,0)+IF(C210=4,M210*Habitat!$L$26,0)+IF(C210=5,M210*Habitat!$M$26,0)</f>
        <v>0</v>
      </c>
      <c r="P210" s="48">
        <f>IF(C210=1,M210*Habitat!$I$25,0)+IF(C210=2,M210*Habitat!$J$25,0)+IF(C210=3,M210*Habitat!$K$25,0)+IF(C210=4,M210*Habitat!$L$25,0)+IF(C210=5,M210*Habitat!$M$25,0)</f>
        <v>0</v>
      </c>
      <c r="Q210" s="48">
        <f>IF(C210=1,M210*Habitat!$I$28,0)+IF(C210=2,M210*Habitat!$J$28,0)+IF(C210=3,M210*Habitat!$K$28,0)+IF(C210=4,M210*Habitat!$L$28,0)+IF(C210=5,M210*Habitat!$M$28,0)</f>
        <v>0</v>
      </c>
      <c r="R210" s="48">
        <f>IF(C210=1,M210*Habitat!$I$29,0)+IF(C210=2,M210*Habitat!$J$29,0)+IF(C210=3,M210*Habitat!$K$29,0)+IF(C210=4,M210*Habitat!$L$29,0)+IF(C210=5,M210*Habitat!$M$29,0)</f>
        <v>0</v>
      </c>
      <c r="S210">
        <f>IF(C210=1,M210*Habitat!$I$30,0)+IF(C210=2,M210*Habitat!$J$30,0)+IF(C210=3,M210*Habitat!$K$30,0)+IF(C210=4,M210*Habitat!$L$30,0)+IF(C210=5,M210*Habitat!$M$30,0)</f>
        <v>0</v>
      </c>
    </row>
    <row r="211" spans="1:19">
      <c r="A211">
        <f t="shared" si="59"/>
        <v>201</v>
      </c>
      <c r="C211" s="5">
        <v>3</v>
      </c>
      <c r="D211" s="56">
        <f>D210+Habitat!$C$16</f>
        <v>1135</v>
      </c>
      <c r="E211" s="48">
        <f t="shared" si="63"/>
        <v>904</v>
      </c>
      <c r="F211" s="3">
        <f>Habitat!$D$13*D211</f>
        <v>31.78</v>
      </c>
      <c r="G211" s="3">
        <f t="shared" si="67"/>
        <v>0</v>
      </c>
      <c r="H211" s="3">
        <f t="shared" si="68"/>
        <v>0</v>
      </c>
      <c r="I211" s="3"/>
      <c r="J211" s="3"/>
      <c r="K211" s="3"/>
      <c r="L211" s="3">
        <f t="shared" si="69"/>
        <v>0</v>
      </c>
      <c r="M211">
        <f t="shared" si="70"/>
        <v>0</v>
      </c>
    </row>
    <row r="212" spans="1:19">
      <c r="A212">
        <f t="shared" si="59"/>
        <v>202</v>
      </c>
      <c r="C212" s="5">
        <v>3</v>
      </c>
      <c r="D212" s="56">
        <f>D211+Habitat!$C$16</f>
        <v>1140</v>
      </c>
      <c r="E212" s="48">
        <f t="shared" si="63"/>
        <v>909</v>
      </c>
      <c r="F212" s="3">
        <f>Habitat!$D$13*D212</f>
        <v>31.92</v>
      </c>
      <c r="G212" s="3">
        <f t="shared" si="67"/>
        <v>0</v>
      </c>
      <c r="H212" s="3">
        <f t="shared" si="68"/>
        <v>0</v>
      </c>
      <c r="I212" s="3"/>
      <c r="J212" s="3"/>
      <c r="K212" s="3"/>
      <c r="L212" s="3">
        <f t="shared" si="69"/>
        <v>0</v>
      </c>
      <c r="M212">
        <f t="shared" si="70"/>
        <v>0</v>
      </c>
    </row>
  </sheetData>
  <pageMargins left="0.7" right="0.7" top="0.75" bottom="0.75" header="0.3" footer="0.3"/>
  <pageSetup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E40A2-0352-B744-BB5D-40DBFBFA564D}">
  <dimension ref="A1:H45"/>
  <sheetViews>
    <sheetView workbookViewId="0"/>
  </sheetViews>
  <sheetFormatPr baseColWidth="10" defaultRowHeight="16"/>
  <cols>
    <col min="1" max="1" width="23.83203125" bestFit="1" customWidth="1"/>
    <col min="2" max="3" width="12.1640625" bestFit="1" customWidth="1"/>
    <col min="4" max="4" width="14.6640625" customWidth="1"/>
    <col min="5" max="5" width="12.1640625" bestFit="1" customWidth="1"/>
  </cols>
  <sheetData>
    <row r="1" spans="1:8">
      <c r="A1" s="75" t="s">
        <v>623</v>
      </c>
      <c r="B1" t="s">
        <v>656</v>
      </c>
      <c r="C1" t="s">
        <v>657</v>
      </c>
      <c r="D1" t="s">
        <v>681</v>
      </c>
    </row>
    <row r="2" spans="1:8" ht="17">
      <c r="A2" s="75" t="s">
        <v>655</v>
      </c>
      <c r="B2">
        <v>365.25</v>
      </c>
      <c r="C2" s="84">
        <v>365.24250000000001</v>
      </c>
      <c r="D2">
        <v>360</v>
      </c>
    </row>
    <row r="3" spans="1:8">
      <c r="A3" t="s">
        <v>7</v>
      </c>
      <c r="B3">
        <f>B2*3600*24</f>
        <v>31557600</v>
      </c>
      <c r="C3" s="42">
        <f>C2*3600*24</f>
        <v>31556952</v>
      </c>
      <c r="D3">
        <f>D2*3600*24</f>
        <v>31104000</v>
      </c>
      <c r="E3" t="s">
        <v>103</v>
      </c>
    </row>
    <row r="4" spans="1:8">
      <c r="A4" t="s">
        <v>139</v>
      </c>
      <c r="B4">
        <f>B3/3600</f>
        <v>8766</v>
      </c>
      <c r="C4" s="42">
        <f>C3/3600</f>
        <v>8765.82</v>
      </c>
      <c r="D4">
        <f>D3/3600</f>
        <v>8640</v>
      </c>
    </row>
    <row r="5" spans="1:8">
      <c r="A5" t="s">
        <v>0</v>
      </c>
      <c r="B5">
        <v>9460700000000000</v>
      </c>
    </row>
    <row r="6" spans="1:8">
      <c r="A6" t="s">
        <v>714</v>
      </c>
      <c r="B6">
        <v>149597870700</v>
      </c>
      <c r="E6">
        <f>B6/B5</f>
        <v>1.5812558341348948E-5</v>
      </c>
    </row>
    <row r="7" spans="1:8">
      <c r="A7" t="s">
        <v>11</v>
      </c>
      <c r="B7" s="2">
        <v>299792458</v>
      </c>
    </row>
    <row r="8" spans="1:8">
      <c r="A8" t="s">
        <v>149</v>
      </c>
      <c r="B8" s="2">
        <v>6.0220000000000003E+23</v>
      </c>
      <c r="E8">
        <v>2130</v>
      </c>
    </row>
    <row r="9" spans="1:8">
      <c r="A9" t="s">
        <v>299</v>
      </c>
      <c r="B9" s="2">
        <f>3*SQRT(3)</f>
        <v>5.196152422706632</v>
      </c>
      <c r="C9">
        <f>1.4422*3</f>
        <v>4.3266</v>
      </c>
    </row>
    <row r="10" spans="1:8">
      <c r="A10" t="s">
        <v>540</v>
      </c>
      <c r="B10">
        <v>1.2250000000000001</v>
      </c>
      <c r="C10" t="s">
        <v>174</v>
      </c>
    </row>
    <row r="11" spans="1:8">
      <c r="A11" t="s">
        <v>274</v>
      </c>
      <c r="B11">
        <v>1700</v>
      </c>
      <c r="C11" t="s">
        <v>174</v>
      </c>
    </row>
    <row r="12" spans="1:8">
      <c r="A12" t="s">
        <v>8</v>
      </c>
      <c r="B12">
        <v>9.8000000000000007</v>
      </c>
      <c r="C12" t="s">
        <v>3</v>
      </c>
    </row>
    <row r="14" spans="1:8">
      <c r="A14" s="75" t="s">
        <v>185</v>
      </c>
    </row>
    <row r="15" spans="1:8">
      <c r="A15" t="s">
        <v>45</v>
      </c>
      <c r="C15" t="s">
        <v>47</v>
      </c>
      <c r="D15" t="s">
        <v>113</v>
      </c>
      <c r="E15" t="s">
        <v>14</v>
      </c>
      <c r="F15" t="s">
        <v>620</v>
      </c>
      <c r="G15" t="s">
        <v>621</v>
      </c>
      <c r="H15" t="s">
        <v>622</v>
      </c>
    </row>
    <row r="16" spans="1:8">
      <c r="A16" t="s">
        <v>620</v>
      </c>
      <c r="C16">
        <v>4.0468600000000002E-3</v>
      </c>
      <c r="D16" s="37">
        <f>1/F18</f>
        <v>0.40468564300507887</v>
      </c>
      <c r="E16">
        <v>4046.8564200000001</v>
      </c>
      <c r="F16">
        <v>1</v>
      </c>
      <c r="G16">
        <v>1.5625000000000001E-3</v>
      </c>
    </row>
    <row r="17" spans="1:7" ht="17">
      <c r="A17" t="s">
        <v>47</v>
      </c>
      <c r="C17">
        <v>1</v>
      </c>
      <c r="D17">
        <v>100</v>
      </c>
      <c r="E17">
        <f>E18*D17</f>
        <v>1000000</v>
      </c>
      <c r="F17">
        <v>247.10538099999999</v>
      </c>
      <c r="G17" s="71">
        <v>0.38610216000000003</v>
      </c>
    </row>
    <row r="18" spans="1:7" ht="17">
      <c r="A18" t="s">
        <v>113</v>
      </c>
      <c r="C18">
        <f>1/D17</f>
        <v>0.01</v>
      </c>
      <c r="D18">
        <v>1</v>
      </c>
      <c r="E18" s="53">
        <v>10000</v>
      </c>
      <c r="F18" s="72">
        <v>2.4710538099999999</v>
      </c>
      <c r="G18">
        <v>3.8610200000000002E-3</v>
      </c>
    </row>
    <row r="19" spans="1:7" ht="17">
      <c r="A19" t="s">
        <v>14</v>
      </c>
      <c r="C19">
        <v>9.9999999999999995E-7</v>
      </c>
      <c r="D19">
        <f>1/E18</f>
        <v>1E-4</v>
      </c>
      <c r="E19" s="53">
        <v>1</v>
      </c>
      <c r="F19" s="74">
        <v>2.4710999999999998E-4</v>
      </c>
      <c r="G19" s="2">
        <v>3.861E-7</v>
      </c>
    </row>
    <row r="22" spans="1:7">
      <c r="A22" s="75" t="s">
        <v>459</v>
      </c>
    </row>
    <row r="23" spans="1:7" ht="17">
      <c r="A23" t="s">
        <v>389</v>
      </c>
      <c r="D23" s="73">
        <v>2241.7023100000001</v>
      </c>
    </row>
    <row r="24" spans="1:7" ht="20">
      <c r="A24" t="s">
        <v>15</v>
      </c>
      <c r="B24" s="11">
        <f>13790*3</f>
        <v>41370</v>
      </c>
      <c r="C24" t="s">
        <v>17</v>
      </c>
    </row>
    <row r="25" spans="1:7">
      <c r="A25" t="s">
        <v>16</v>
      </c>
      <c r="B25">
        <f>27.4</f>
        <v>27.4</v>
      </c>
    </row>
    <row r="26" spans="1:7">
      <c r="A26" t="s">
        <v>206</v>
      </c>
      <c r="B26" t="s">
        <v>211</v>
      </c>
    </row>
    <row r="27" spans="1:7">
      <c r="A27" t="s">
        <v>207</v>
      </c>
      <c r="B27">
        <v>640</v>
      </c>
      <c r="C27" t="s">
        <v>208</v>
      </c>
    </row>
    <row r="28" spans="1:7">
      <c r="A28" t="s">
        <v>209</v>
      </c>
      <c r="B28">
        <v>240</v>
      </c>
      <c r="C28" t="s">
        <v>208</v>
      </c>
    </row>
    <row r="29" spans="1:7">
      <c r="A29" t="s">
        <v>171</v>
      </c>
      <c r="B29">
        <v>8.4499999999999993</v>
      </c>
      <c r="C29" t="s">
        <v>210</v>
      </c>
      <c r="E29" t="s">
        <v>36</v>
      </c>
    </row>
    <row r="30" spans="1:7">
      <c r="A30" t="s">
        <v>20</v>
      </c>
      <c r="B30" s="2">
        <v>6668000000000000</v>
      </c>
      <c r="C30" t="s">
        <v>34</v>
      </c>
      <c r="D30" s="3">
        <f>B30/(Structure!B26+Structure!B20)</f>
        <v>148328.39771598027</v>
      </c>
    </row>
    <row r="31" spans="1:7">
      <c r="A31" t="s">
        <v>35</v>
      </c>
      <c r="B31" s="2">
        <v>9.1E+20</v>
      </c>
      <c r="C31" s="13"/>
      <c r="D31" s="3" t="e">
        <f>B31/(Structure!B18+Vehicle!#REF!)</f>
        <v>#REF!</v>
      </c>
    </row>
    <row r="32" spans="1:7">
      <c r="A32" t="s">
        <v>147</v>
      </c>
      <c r="B32" s="2">
        <f>1046000*1016.4</f>
        <v>1063154400</v>
      </c>
      <c r="C32" t="s">
        <v>34</v>
      </c>
      <c r="D32" t="s">
        <v>148</v>
      </c>
    </row>
    <row r="33" spans="1:7">
      <c r="A33" t="s">
        <v>651</v>
      </c>
      <c r="B33">
        <v>0.74569987000000004</v>
      </c>
    </row>
    <row r="34" spans="1:7">
      <c r="A34" t="s">
        <v>652</v>
      </c>
      <c r="B34">
        <f>1/B33</f>
        <v>1.3410220924404881</v>
      </c>
    </row>
    <row r="35" spans="1:7">
      <c r="A35" t="s">
        <v>653</v>
      </c>
      <c r="B35" s="2">
        <v>312</v>
      </c>
      <c r="C35" t="s">
        <v>184</v>
      </c>
      <c r="D35" t="s">
        <v>183</v>
      </c>
    </row>
    <row r="37" spans="1:7">
      <c r="A37" t="s">
        <v>137</v>
      </c>
      <c r="B37" s="42">
        <f>1000/B3</f>
        <v>3.1688087814028949E-5</v>
      </c>
      <c r="C37" s="42">
        <f>1/B37</f>
        <v>31557.600000000002</v>
      </c>
    </row>
    <row r="38" spans="1:7">
      <c r="A38" t="s">
        <v>677</v>
      </c>
      <c r="B38" s="42">
        <f>1000/(3600*24)</f>
        <v>1.1574074074074073E-2</v>
      </c>
      <c r="C38">
        <f>1/B38</f>
        <v>86.4</v>
      </c>
    </row>
    <row r="40" spans="1:7">
      <c r="A40" t="s">
        <v>179</v>
      </c>
      <c r="B40" s="42">
        <f>41868/1000</f>
        <v>41.868000000000002</v>
      </c>
      <c r="D40" t="s">
        <v>180</v>
      </c>
    </row>
    <row r="41" spans="1:7">
      <c r="A41" t="s">
        <v>543</v>
      </c>
      <c r="B41">
        <v>333</v>
      </c>
      <c r="C41" t="s">
        <v>2</v>
      </c>
    </row>
    <row r="42" spans="1:7">
      <c r="A42" t="s">
        <v>545</v>
      </c>
      <c r="B42">
        <v>109.72799999999999</v>
      </c>
      <c r="C42" t="s">
        <v>2</v>
      </c>
    </row>
    <row r="44" spans="1:7">
      <c r="A44" t="s">
        <v>658</v>
      </c>
      <c r="B44" s="3">
        <v>3.24</v>
      </c>
      <c r="C44" t="s">
        <v>544</v>
      </c>
      <c r="D44">
        <f>Vehicle!C6</f>
        <v>700</v>
      </c>
      <c r="E44" t="s">
        <v>2</v>
      </c>
      <c r="F44">
        <f>B44/D44*Conversion!B41</f>
        <v>1.5413142857142859</v>
      </c>
      <c r="G44" t="s">
        <v>544</v>
      </c>
    </row>
    <row r="45" spans="1:7">
      <c r="A45" t="s">
        <v>659</v>
      </c>
      <c r="B45">
        <v>7.2</v>
      </c>
      <c r="C45" t="s">
        <v>544</v>
      </c>
      <c r="D45">
        <f>Structure!B7*2</f>
        <v>272</v>
      </c>
      <c r="E45" t="s">
        <v>2</v>
      </c>
      <c r="F45">
        <f>B45/D45*Conversion!B42</f>
        <v>2.9045647058823527</v>
      </c>
      <c r="G45" t="s">
        <v>544</v>
      </c>
    </row>
  </sheetData>
  <pageMargins left="0.7" right="0.7" top="0.75" bottom="0.75" header="0.3" footer="0.3"/>
  <pageSetup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D0D86-477E-CD4E-8E1C-4C6B21809367}">
  <dimension ref="A1:H8"/>
  <sheetViews>
    <sheetView workbookViewId="0"/>
  </sheetViews>
  <sheetFormatPr baseColWidth="10" defaultRowHeight="16"/>
  <cols>
    <col min="1" max="1" width="17.33203125" bestFit="1" customWidth="1"/>
    <col min="7" max="7" width="55.6640625" bestFit="1" customWidth="1"/>
    <col min="8" max="8" width="46.6640625" bestFit="1" customWidth="1"/>
  </cols>
  <sheetData>
    <row r="1" spans="1:8">
      <c r="A1" t="s">
        <v>278</v>
      </c>
    </row>
    <row r="2" spans="1:8">
      <c r="B2" t="s">
        <v>280</v>
      </c>
      <c r="C2" t="s">
        <v>281</v>
      </c>
      <c r="D2" t="s">
        <v>273</v>
      </c>
      <c r="E2" t="s">
        <v>282</v>
      </c>
    </row>
    <row r="3" spans="1:8">
      <c r="A3" t="s">
        <v>279</v>
      </c>
      <c r="B3">
        <v>1240000</v>
      </c>
      <c r="C3" s="55">
        <v>930000000</v>
      </c>
      <c r="D3">
        <v>110</v>
      </c>
      <c r="E3">
        <f>C3/B3</f>
        <v>750</v>
      </c>
      <c r="G3" t="s">
        <v>276</v>
      </c>
      <c r="H3" t="s">
        <v>277</v>
      </c>
    </row>
    <row r="4" spans="1:8">
      <c r="A4" t="s">
        <v>283</v>
      </c>
      <c r="B4">
        <v>217045</v>
      </c>
      <c r="C4">
        <v>40000000</v>
      </c>
      <c r="D4">
        <v>64</v>
      </c>
      <c r="E4">
        <f>C4/B4</f>
        <v>184.29357967241816</v>
      </c>
      <c r="G4" t="s">
        <v>284</v>
      </c>
    </row>
    <row r="5" spans="1:8">
      <c r="A5" t="s">
        <v>286</v>
      </c>
      <c r="B5">
        <v>52000</v>
      </c>
      <c r="D5">
        <v>36</v>
      </c>
    </row>
    <row r="7" spans="1:8">
      <c r="B7">
        <f>222.97</f>
        <v>222.97</v>
      </c>
      <c r="C7">
        <f>74.4*2000/2.2</f>
        <v>67636.363636363632</v>
      </c>
      <c r="D7">
        <v>1</v>
      </c>
      <c r="E7">
        <f>C7/B7</f>
        <v>303.34288754704056</v>
      </c>
      <c r="G7" t="s">
        <v>287</v>
      </c>
    </row>
    <row r="8" spans="1:8">
      <c r="G8" t="s">
        <v>288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3</vt:i4>
      </vt:variant>
    </vt:vector>
  </HeadingPairs>
  <TitlesOfParts>
    <vt:vector size="22" baseType="lpstr">
      <vt:lpstr>Vehicle</vt:lpstr>
      <vt:lpstr>Performance</vt:lpstr>
      <vt:lpstr>VoyPluto</vt:lpstr>
      <vt:lpstr>VoyComet</vt:lpstr>
      <vt:lpstr>Structure</vt:lpstr>
      <vt:lpstr>Habitat</vt:lpstr>
      <vt:lpstr>Gravity</vt:lpstr>
      <vt:lpstr>Conversion</vt:lpstr>
      <vt:lpstr>Sheet2</vt:lpstr>
      <vt:lpstr>Isotope Plant</vt:lpstr>
      <vt:lpstr>Power Consumption</vt:lpstr>
      <vt:lpstr>Vocations</vt:lpstr>
      <vt:lpstr>Billet</vt:lpstr>
      <vt:lpstr>Agriculture</vt:lpstr>
      <vt:lpstr>Crops</vt:lpstr>
      <vt:lpstr>Diet</vt:lpstr>
      <vt:lpstr>Aquaculture</vt:lpstr>
      <vt:lpstr>Cattle</vt:lpstr>
      <vt:lpstr>Protein</vt:lpstr>
      <vt:lpstr>Vocations!Criteria</vt:lpstr>
      <vt:lpstr>Vocations!Extract</vt:lpstr>
      <vt:lpstr>Vocations!Print_Area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Woods</dc:creator>
  <cp:lastModifiedBy>Sean Woods</cp:lastModifiedBy>
  <cp:lastPrinted>2019-03-30T21:01:46Z</cp:lastPrinted>
  <dcterms:created xsi:type="dcterms:W3CDTF">2019-01-31T03:30:08Z</dcterms:created>
  <dcterms:modified xsi:type="dcterms:W3CDTF">2020-10-27T16:04:09Z</dcterms:modified>
</cp:coreProperties>
</file>