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andeelywoods/www/etoyoc/sites/sublight/content/61874897-814f-4637-a98a-c228261e9649/"/>
    </mc:Choice>
  </mc:AlternateContent>
  <xr:revisionPtr revIDLastSave="0" documentId="13_ncr:1_{E40DAA6C-B9CF-1247-AC57-80C5F9F189AF}" xr6:coauthVersionLast="36" xr6:coauthVersionMax="36" xr10:uidLastSave="{00000000-0000-0000-0000-000000000000}"/>
  <bookViews>
    <workbookView xWindow="2840" yWindow="840" windowWidth="25640" windowHeight="14440" activeTab="4" xr2:uid="{5F0C344F-D33D-E945-B208-ABF25A2EE49C}"/>
  </bookViews>
  <sheets>
    <sheet name="Calendar" sheetId="34" r:id="rId1"/>
    <sheet name="Vehicle" sheetId="1" r:id="rId2"/>
    <sheet name="Automation" sheetId="26" r:id="rId3"/>
    <sheet name="Conversion" sheetId="27" r:id="rId4"/>
    <sheet name="Geometry" sheetId="18" r:id="rId5"/>
    <sheet name="Gravity" sheetId="19" r:id="rId6"/>
    <sheet name="Power Consumption" sheetId="13" r:id="rId7"/>
    <sheet name="Population" sheetId="6" r:id="rId8"/>
    <sheet name="Population Model" sheetId="28" r:id="rId9"/>
    <sheet name="Vocations" sheetId="24" r:id="rId10"/>
    <sheet name="Agriculture" sheetId="9" r:id="rId11"/>
    <sheet name="Crops" sheetId="21" r:id="rId12"/>
    <sheet name="Diet" sheetId="20" r:id="rId13"/>
    <sheet name="Aquaculture" sheetId="14" r:id="rId14"/>
    <sheet name="Cattle" sheetId="8" r:id="rId15"/>
    <sheet name="Protein" sheetId="15" r:id="rId16"/>
    <sheet name="Buildings" sheetId="17" r:id="rId17"/>
  </sheets>
  <definedNames>
    <definedName name="_xlnm._FilterDatabase" localSheetId="5" hidden="1">Gravity!$A$7:$V$16</definedName>
    <definedName name="_xlnm._FilterDatabase" localSheetId="9" hidden="1">Vocations!$A:$A</definedName>
    <definedName name="_xlnm.Criteria" localSheetId="9">Vocations!$A:$A</definedName>
    <definedName name="_xlnm.Extract" localSheetId="9">Vocations!$B$14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6" l="1"/>
  <c r="I15" i="6"/>
  <c r="B35" i="1" l="1"/>
  <c r="X14" i="21"/>
  <c r="AE14" i="21"/>
  <c r="Z14" i="21"/>
  <c r="Y14" i="21"/>
  <c r="T14" i="21"/>
  <c r="K14" i="21"/>
  <c r="Z117" i="21"/>
  <c r="AA117" i="21"/>
  <c r="Z118" i="21"/>
  <c r="AA118" i="21"/>
  <c r="Z119" i="21"/>
  <c r="AA119" i="21"/>
  <c r="Z120" i="21"/>
  <c r="AA120" i="21"/>
  <c r="AA116" i="21"/>
  <c r="AA103" i="21"/>
  <c r="Z104" i="21"/>
  <c r="AA104" i="21"/>
  <c r="AA105" i="21"/>
  <c r="Z106" i="21"/>
  <c r="AA106" i="21"/>
  <c r="Z107" i="21"/>
  <c r="AA107" i="21"/>
  <c r="Z108" i="21"/>
  <c r="AA108" i="21"/>
  <c r="Z109" i="21"/>
  <c r="AA109" i="21"/>
  <c r="Z110" i="21"/>
  <c r="AA110" i="21"/>
  <c r="Z111" i="21"/>
  <c r="AA111" i="21"/>
  <c r="Z112" i="21"/>
  <c r="AA112" i="21"/>
  <c r="Z113" i="21"/>
  <c r="AA113" i="21"/>
  <c r="AA102" i="21"/>
  <c r="AA99" i="21"/>
  <c r="Z99" i="21"/>
  <c r="AA98" i="21"/>
  <c r="Z98" i="21"/>
  <c r="AA97" i="21"/>
  <c r="Z97" i="21"/>
  <c r="AA96" i="21"/>
  <c r="Z96" i="21"/>
  <c r="AA95" i="21"/>
  <c r="Z95" i="21"/>
  <c r="AA94" i="21"/>
  <c r="Z94" i="21"/>
  <c r="AA93" i="21"/>
  <c r="Z93" i="21"/>
  <c r="AA92" i="21"/>
  <c r="Z92" i="21"/>
  <c r="AA91" i="21"/>
  <c r="Z91" i="21"/>
  <c r="AA90" i="21"/>
  <c r="Z90" i="21"/>
  <c r="AA87" i="21"/>
  <c r="Z87" i="21"/>
  <c r="AA86" i="21"/>
  <c r="Z86" i="21"/>
  <c r="AA85" i="21"/>
  <c r="Z85" i="21"/>
  <c r="Y48" i="21"/>
  <c r="Z48" i="21"/>
  <c r="Z49" i="21"/>
  <c r="AA49" i="21"/>
  <c r="Z50" i="21"/>
  <c r="AA50" i="21"/>
  <c r="Z51" i="21"/>
  <c r="AA51" i="21"/>
  <c r="Z52" i="21"/>
  <c r="AA52" i="21"/>
  <c r="Z53" i="21"/>
  <c r="AA53" i="21"/>
  <c r="Z54" i="21"/>
  <c r="AA54" i="21"/>
  <c r="Z55" i="21"/>
  <c r="AA55" i="21"/>
  <c r="Z56" i="21"/>
  <c r="AA56" i="21"/>
  <c r="Z57" i="21"/>
  <c r="AA57" i="21"/>
  <c r="Z58" i="21"/>
  <c r="AA58" i="21"/>
  <c r="Y59" i="21"/>
  <c r="Z59" i="21"/>
  <c r="Y60" i="21"/>
  <c r="Z60" i="21"/>
  <c r="Z61" i="21"/>
  <c r="AA61" i="21"/>
  <c r="Z62" i="21"/>
  <c r="AA62" i="21"/>
  <c r="Z63" i="21"/>
  <c r="AA63" i="21"/>
  <c r="Y64" i="21"/>
  <c r="Z64" i="21"/>
  <c r="Z65" i="21"/>
  <c r="AA65" i="21"/>
  <c r="Y66" i="21"/>
  <c r="Z66" i="21"/>
  <c r="Y67" i="21"/>
  <c r="Z67" i="21"/>
  <c r="Z68" i="21"/>
  <c r="AA68" i="21"/>
  <c r="Y69" i="21"/>
  <c r="Z69" i="21"/>
  <c r="Y70" i="21"/>
  <c r="Z70" i="21"/>
  <c r="Z71" i="21"/>
  <c r="AA71" i="21"/>
  <c r="Y72" i="21"/>
  <c r="Z72" i="21"/>
  <c r="Z73" i="21"/>
  <c r="AA73" i="21"/>
  <c r="Z74" i="21"/>
  <c r="AA74" i="21"/>
  <c r="Y75" i="21"/>
  <c r="Z75" i="21"/>
  <c r="Y76" i="21"/>
  <c r="Z76" i="21"/>
  <c r="Z77" i="21"/>
  <c r="AA77" i="21"/>
  <c r="Z78" i="21"/>
  <c r="AA78" i="21"/>
  <c r="Z79" i="21"/>
  <c r="AA79" i="21"/>
  <c r="Z80" i="21"/>
  <c r="AA80" i="21"/>
  <c r="Z81" i="21"/>
  <c r="AA81" i="21"/>
  <c r="Z82" i="21"/>
  <c r="AA82" i="21"/>
  <c r="Z47" i="21"/>
  <c r="Y47" i="21"/>
  <c r="Y23" i="21"/>
  <c r="Y44" i="21"/>
  <c r="AA24" i="21"/>
  <c r="AA25" i="21"/>
  <c r="AA26" i="21"/>
  <c r="AA27" i="21"/>
  <c r="AA28" i="21"/>
  <c r="AA29" i="21"/>
  <c r="AA30" i="21"/>
  <c r="AA31" i="21"/>
  <c r="AA32" i="21"/>
  <c r="AA33" i="21"/>
  <c r="AA34" i="21"/>
  <c r="AA35" i="21"/>
  <c r="AA36" i="21"/>
  <c r="AA37" i="21"/>
  <c r="AA38" i="21"/>
  <c r="AA39" i="21"/>
  <c r="AA40" i="21"/>
  <c r="AA41" i="21"/>
  <c r="AA42" i="21"/>
  <c r="AA43" i="21"/>
  <c r="AA22" i="21"/>
  <c r="AA19" i="21"/>
  <c r="AA18" i="21"/>
  <c r="AA15" i="21"/>
  <c r="AA13" i="21"/>
  <c r="AA4" i="21"/>
  <c r="Z24" i="21"/>
  <c r="Z25" i="21"/>
  <c r="Z26" i="21"/>
  <c r="Z27" i="21"/>
  <c r="Z28" i="21"/>
  <c r="Z30" i="21"/>
  <c r="Z31" i="21"/>
  <c r="Z33" i="21"/>
  <c r="Z34" i="21"/>
  <c r="Z35" i="21"/>
  <c r="Z36" i="21"/>
  <c r="Z37" i="21"/>
  <c r="Z38" i="21"/>
  <c r="Z39" i="21"/>
  <c r="Z41" i="21"/>
  <c r="Z42" i="21"/>
  <c r="Z43" i="21"/>
  <c r="Z44" i="21"/>
  <c r="AA6" i="21"/>
  <c r="AA7" i="21"/>
  <c r="AA8" i="21"/>
  <c r="AA9" i="21"/>
  <c r="AA10" i="21"/>
  <c r="AA11" i="21"/>
  <c r="Y5" i="21"/>
  <c r="Y9" i="21"/>
  <c r="AD14" i="21" l="1"/>
  <c r="AF14" i="21" s="1"/>
  <c r="AB14" i="21"/>
  <c r="L28" i="6" l="1"/>
  <c r="E2" i="18"/>
  <c r="C2" i="19" s="1"/>
  <c r="R6" i="18" l="1"/>
  <c r="R7" i="18" s="1"/>
  <c r="V3" i="19"/>
  <c r="R8" i="18" l="1"/>
  <c r="S7" i="18"/>
  <c r="P4" i="19"/>
  <c r="S4" i="19" s="1"/>
  <c r="P3" i="19"/>
  <c r="Q3" i="19" s="1"/>
  <c r="Q4" i="19" l="1"/>
  <c r="H3" i="18"/>
  <c r="J2" i="18"/>
  <c r="P5" i="18"/>
  <c r="P6" i="18" s="1"/>
  <c r="G1" i="34" l="1"/>
  <c r="B2" i="34"/>
  <c r="B3" i="34" s="1"/>
  <c r="G55" i="6"/>
  <c r="F54" i="6"/>
  <c r="D55" i="6" s="1"/>
  <c r="C55" i="6"/>
  <c r="C56" i="6" s="1"/>
  <c r="C57" i="6" s="1"/>
  <c r="C58" i="6" s="1"/>
  <c r="D3" i="34" l="1"/>
  <c r="E3" i="34" s="1"/>
  <c r="B4" i="34"/>
  <c r="D2" i="34"/>
  <c r="E2" i="34" s="1"/>
  <c r="A3" i="34" s="1"/>
  <c r="A4" i="34" s="1"/>
  <c r="E55" i="6"/>
  <c r="F55" i="6" s="1"/>
  <c r="D56" i="6" s="1"/>
  <c r="B6" i="6"/>
  <c r="J3" i="6" s="1"/>
  <c r="D37" i="9"/>
  <c r="D4" i="34" l="1"/>
  <c r="E4" i="34" s="1"/>
  <c r="A5" i="34" s="1"/>
  <c r="B5" i="34"/>
  <c r="E56" i="6"/>
  <c r="F56" i="6" s="1"/>
  <c r="E57" i="6" s="1"/>
  <c r="F57" i="6" s="1"/>
  <c r="F24" i="20"/>
  <c r="G24" i="20"/>
  <c r="F25" i="20"/>
  <c r="G25" i="20"/>
  <c r="F17" i="20"/>
  <c r="G17" i="20"/>
  <c r="F13" i="20"/>
  <c r="G13" i="20"/>
  <c r="G12" i="20"/>
  <c r="F12" i="20"/>
  <c r="D5" i="34" l="1"/>
  <c r="E5" i="34" s="1"/>
  <c r="A6" i="34" s="1"/>
  <c r="B6" i="34"/>
  <c r="D57" i="6"/>
  <c r="D58" i="6"/>
  <c r="E58" i="6"/>
  <c r="F58" i="6" s="1"/>
  <c r="F47" i="1"/>
  <c r="D32" i="27"/>
  <c r="D31" i="27"/>
  <c r="B87" i="1"/>
  <c r="B88" i="1" s="1"/>
  <c r="K98" i="1"/>
  <c r="O100" i="1" s="1"/>
  <c r="O98" i="1"/>
  <c r="B7" i="34" l="1"/>
  <c r="D6" i="34"/>
  <c r="E6" i="34" s="1"/>
  <c r="A7" i="34" s="1"/>
  <c r="D88" i="1"/>
  <c r="E88" i="1" s="1"/>
  <c r="M98" i="1"/>
  <c r="O99" i="1"/>
  <c r="C74" i="1"/>
  <c r="B54" i="1"/>
  <c r="C6" i="27"/>
  <c r="E20" i="17"/>
  <c r="E21" i="17"/>
  <c r="E22" i="17"/>
  <c r="E24" i="17"/>
  <c r="F14" i="17"/>
  <c r="G14" i="17" s="1"/>
  <c r="F15" i="17"/>
  <c r="G15" i="17" s="1"/>
  <c r="F16" i="17"/>
  <c r="G16" i="17" s="1"/>
  <c r="F17" i="17"/>
  <c r="D17" i="17" s="1"/>
  <c r="D18" i="17" s="1"/>
  <c r="D7" i="34" l="1"/>
  <c r="E7" i="34" s="1"/>
  <c r="A8" i="34" s="1"/>
  <c r="B8" i="34"/>
  <c r="N4" i="19"/>
  <c r="N3" i="19"/>
  <c r="P7" i="18"/>
  <c r="Q7" i="18" s="1"/>
  <c r="J3" i="18"/>
  <c r="O1" i="18"/>
  <c r="O2" i="18" s="1"/>
  <c r="I4" i="18"/>
  <c r="G51" i="1"/>
  <c r="G52" i="1"/>
  <c r="G50" i="1"/>
  <c r="P8" i="18" l="1"/>
  <c r="B9" i="34"/>
  <c r="D8" i="34"/>
  <c r="E8" i="34" s="1"/>
  <c r="A9" i="34" s="1"/>
  <c r="C40" i="13"/>
  <c r="B75" i="1" s="1"/>
  <c r="M22" i="18"/>
  <c r="M21" i="18"/>
  <c r="M2" i="18"/>
  <c r="B7" i="1"/>
  <c r="D9" i="34" l="1"/>
  <c r="E9" i="34" s="1"/>
  <c r="A10" i="34" s="1"/>
  <c r="B10" i="34"/>
  <c r="H106" i="1"/>
  <c r="I106" i="1" s="1"/>
  <c r="I107" i="1" s="1"/>
  <c r="C14" i="18"/>
  <c r="J1" i="19"/>
  <c r="J4" i="18"/>
  <c r="I7" i="18"/>
  <c r="L7" i="18" s="1"/>
  <c r="G8" i="18"/>
  <c r="I8" i="18" s="1"/>
  <c r="H12" i="18"/>
  <c r="H13" i="18" s="1"/>
  <c r="H14" i="18" s="1"/>
  <c r="J7" i="18"/>
  <c r="J8" i="18" s="1"/>
  <c r="J9" i="18" s="1"/>
  <c r="J10" i="18" s="1"/>
  <c r="C33" i="8"/>
  <c r="C36" i="8"/>
  <c r="E35" i="8" s="1"/>
  <c r="C22" i="8" s="1"/>
  <c r="F3" i="19"/>
  <c r="E44" i="8"/>
  <c r="F45" i="8" s="1"/>
  <c r="F44" i="8"/>
  <c r="C12" i="8"/>
  <c r="C32" i="8"/>
  <c r="D9" i="1"/>
  <c r="C9" i="1"/>
  <c r="D10" i="34" l="1"/>
  <c r="E10" i="34" s="1"/>
  <c r="A11" i="34" s="1"/>
  <c r="B11" i="34"/>
  <c r="I3" i="19"/>
  <c r="J3" i="19" s="1"/>
  <c r="E32" i="8"/>
  <c r="G18" i="8" s="1"/>
  <c r="L8" i="18"/>
  <c r="G9" i="18"/>
  <c r="I9" i="18" s="1"/>
  <c r="J11" i="18"/>
  <c r="K10" i="18"/>
  <c r="K9" i="18"/>
  <c r="K8" i="18"/>
  <c r="K7" i="18"/>
  <c r="M7" i="18" s="1"/>
  <c r="J4" i="6"/>
  <c r="C3" i="1"/>
  <c r="U3" i="6"/>
  <c r="V3" i="6" s="1"/>
  <c r="W3" i="6" s="1"/>
  <c r="X3" i="6" s="1"/>
  <c r="Q6" i="6"/>
  <c r="D11" i="34" l="1"/>
  <c r="E11" i="34" s="1"/>
  <c r="A12" i="34" s="1"/>
  <c r="B12" i="34"/>
  <c r="J4" i="19"/>
  <c r="K3" i="19"/>
  <c r="C21" i="8"/>
  <c r="J18" i="8" s="1"/>
  <c r="M8" i="18"/>
  <c r="L9" i="18"/>
  <c r="M9" i="18" s="1"/>
  <c r="G10" i="18"/>
  <c r="I10" i="18" s="1"/>
  <c r="K11" i="18"/>
  <c r="J12" i="18"/>
  <c r="Y3" i="6"/>
  <c r="J5" i="6"/>
  <c r="B13" i="34" l="1"/>
  <c r="D12" i="34"/>
  <c r="E12" i="34" s="1"/>
  <c r="A13" i="34" s="1"/>
  <c r="H18" i="8"/>
  <c r="C43" i="8" s="1"/>
  <c r="G11" i="18"/>
  <c r="I11" i="18" s="1"/>
  <c r="L10" i="18"/>
  <c r="M10" i="18" s="1"/>
  <c r="J13" i="18"/>
  <c r="K12" i="18"/>
  <c r="B15" i="6"/>
  <c r="J6" i="6"/>
  <c r="K32" i="6"/>
  <c r="K45" i="6"/>
  <c r="K46" i="6"/>
  <c r="K29" i="6"/>
  <c r="K31" i="6"/>
  <c r="K30" i="6"/>
  <c r="J7" i="6"/>
  <c r="J8" i="6" s="1"/>
  <c r="B16" i="6" s="1"/>
  <c r="B6" i="24"/>
  <c r="O13" i="26"/>
  <c r="N13" i="26"/>
  <c r="M13" i="26"/>
  <c r="K13" i="26"/>
  <c r="T13" i="26" s="1"/>
  <c r="I13" i="26"/>
  <c r="N47" i="6"/>
  <c r="P47" i="6" s="1"/>
  <c r="N32" i="6"/>
  <c r="N30" i="6"/>
  <c r="P30" i="6" s="1"/>
  <c r="N31" i="6"/>
  <c r="O31" i="6" s="1"/>
  <c r="N33" i="6"/>
  <c r="P33" i="6" s="1"/>
  <c r="N34" i="6"/>
  <c r="N35" i="6"/>
  <c r="P35" i="6" s="1"/>
  <c r="N36" i="6"/>
  <c r="N37" i="6"/>
  <c r="P37" i="6" s="1"/>
  <c r="N38" i="6"/>
  <c r="P38" i="6" s="1"/>
  <c r="N39" i="6"/>
  <c r="O39" i="6" s="1"/>
  <c r="N40" i="6"/>
  <c r="N41" i="6"/>
  <c r="P41" i="6" s="1"/>
  <c r="N42" i="6"/>
  <c r="N43" i="6"/>
  <c r="P43" i="6" s="1"/>
  <c r="N44" i="6"/>
  <c r="P44" i="6" s="1"/>
  <c r="N45" i="6"/>
  <c r="P45" i="6" s="1"/>
  <c r="N46" i="6"/>
  <c r="P46" i="6" s="1"/>
  <c r="N29" i="6"/>
  <c r="P29" i="6" s="1"/>
  <c r="O49" i="6"/>
  <c r="O48" i="6"/>
  <c r="O50" i="6"/>
  <c r="P31" i="6"/>
  <c r="B12" i="6"/>
  <c r="B11" i="6" s="1"/>
  <c r="F44" i="27"/>
  <c r="B14" i="6"/>
  <c r="AE9" i="21"/>
  <c r="AE127" i="21"/>
  <c r="Z127" i="21"/>
  <c r="Y127" i="21"/>
  <c r="X127" i="21"/>
  <c r="D5" i="9"/>
  <c r="X10" i="21"/>
  <c r="Z10" i="21"/>
  <c r="AE10" i="21"/>
  <c r="D4" i="27"/>
  <c r="D3" i="27"/>
  <c r="C38" i="27"/>
  <c r="B38" i="27"/>
  <c r="B37" i="27"/>
  <c r="C25" i="13"/>
  <c r="I35" i="6"/>
  <c r="I36" i="6"/>
  <c r="I37" i="6"/>
  <c r="I38" i="6"/>
  <c r="I39" i="6"/>
  <c r="I40" i="6"/>
  <c r="I41" i="6"/>
  <c r="I42" i="6"/>
  <c r="I43" i="6"/>
  <c r="I44" i="6"/>
  <c r="I45" i="6"/>
  <c r="I46" i="6"/>
  <c r="I34" i="6"/>
  <c r="I33" i="6"/>
  <c r="D46" i="6"/>
  <c r="A30" i="6"/>
  <c r="A31" i="6" s="1"/>
  <c r="A33" i="6" s="1"/>
  <c r="A35" i="6" s="1"/>
  <c r="A37" i="6" s="1"/>
  <c r="A39" i="6" s="1"/>
  <c r="A41" i="6" s="1"/>
  <c r="A43" i="6" s="1"/>
  <c r="A44" i="6" s="1"/>
  <c r="A45" i="6" s="1"/>
  <c r="A4" i="28"/>
  <c r="A5" i="28" s="1"/>
  <c r="A6" i="28" s="1"/>
  <c r="A7" i="28" s="1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C1" i="28"/>
  <c r="AD1" i="28" s="1"/>
  <c r="AF1" i="28" s="1"/>
  <c r="AH1" i="28" s="1"/>
  <c r="AJ1" i="28" s="1"/>
  <c r="AL1" i="28" s="1"/>
  <c r="AN1" i="28" s="1"/>
  <c r="AP1" i="28" s="1"/>
  <c r="AQ1" i="28" s="1"/>
  <c r="AR1" i="28" s="1"/>
  <c r="D16" i="18"/>
  <c r="D17" i="18"/>
  <c r="B3" i="27"/>
  <c r="K13" i="18" l="1"/>
  <c r="J14" i="18"/>
  <c r="K14" i="18" s="1"/>
  <c r="D13" i="34"/>
  <c r="E13" i="34" s="1"/>
  <c r="A14" i="34" s="1"/>
  <c r="B14" i="34"/>
  <c r="G12" i="18"/>
  <c r="I12" i="18" s="1"/>
  <c r="L11" i="18"/>
  <c r="M11" i="18" s="1"/>
  <c r="O47" i="6"/>
  <c r="K34" i="6"/>
  <c r="J34" i="6" s="1"/>
  <c r="K39" i="6"/>
  <c r="K33" i="6"/>
  <c r="J33" i="6" s="1"/>
  <c r="A18" i="28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A62" i="28" s="1"/>
  <c r="A63" i="28" s="1"/>
  <c r="A64" i="28" s="1"/>
  <c r="A65" i="28" s="1"/>
  <c r="A66" i="28" s="1"/>
  <c r="A67" i="28" s="1"/>
  <c r="A68" i="28" s="1"/>
  <c r="A69" i="28" s="1"/>
  <c r="A70" i="28" s="1"/>
  <c r="A71" i="28" s="1"/>
  <c r="A72" i="28" s="1"/>
  <c r="A73" i="28" s="1"/>
  <c r="A74" i="28" s="1"/>
  <c r="A75" i="28" s="1"/>
  <c r="A76" i="28" s="1"/>
  <c r="A77" i="28" s="1"/>
  <c r="A78" i="28" s="1"/>
  <c r="A79" i="28" s="1"/>
  <c r="A80" i="28" s="1"/>
  <c r="A81" i="28" s="1"/>
  <c r="A82" i="28" s="1"/>
  <c r="A83" i="28" s="1"/>
  <c r="A84" i="28" s="1"/>
  <c r="A85" i="28" s="1"/>
  <c r="A86" i="28" s="1"/>
  <c r="A87" i="28" s="1"/>
  <c r="A88" i="28" s="1"/>
  <c r="A89" i="28" s="1"/>
  <c r="A90" i="28" s="1"/>
  <c r="A91" i="28" s="1"/>
  <c r="A92" i="28" s="1"/>
  <c r="A93" i="28" s="1"/>
  <c r="A94" i="28" s="1"/>
  <c r="A95" i="28" s="1"/>
  <c r="A96" i="28" s="1"/>
  <c r="A97" i="28" s="1"/>
  <c r="A98" i="28" s="1"/>
  <c r="A99" i="28" s="1"/>
  <c r="A100" i="28" s="1"/>
  <c r="A101" i="28" s="1"/>
  <c r="A102" i="28" s="1"/>
  <c r="A103" i="28" s="1"/>
  <c r="A104" i="28" s="1"/>
  <c r="A105" i="28" s="1"/>
  <c r="A106" i="28" s="1"/>
  <c r="A107" i="28" s="1"/>
  <c r="A108" i="28" s="1"/>
  <c r="A109" i="28" s="1"/>
  <c r="A110" i="28" s="1"/>
  <c r="A111" i="28" s="1"/>
  <c r="A112" i="28" s="1"/>
  <c r="A113" i="28" s="1"/>
  <c r="A114" i="28" s="1"/>
  <c r="A115" i="28" s="1"/>
  <c r="K37" i="6"/>
  <c r="K35" i="6"/>
  <c r="K42" i="6"/>
  <c r="K43" i="6"/>
  <c r="K36" i="6"/>
  <c r="K38" i="6"/>
  <c r="K41" i="6"/>
  <c r="K44" i="6"/>
  <c r="O43" i="6"/>
  <c r="O35" i="6"/>
  <c r="K40" i="6"/>
  <c r="P39" i="6"/>
  <c r="O29" i="6"/>
  <c r="O37" i="6"/>
  <c r="O46" i="6"/>
  <c r="O33" i="6"/>
  <c r="O45" i="6"/>
  <c r="O44" i="6"/>
  <c r="O30" i="6"/>
  <c r="O41" i="6"/>
  <c r="L13" i="26"/>
  <c r="G13" i="26" s="1"/>
  <c r="P34" i="6"/>
  <c r="P42" i="6"/>
  <c r="P40" i="6"/>
  <c r="P32" i="6"/>
  <c r="P36" i="6"/>
  <c r="AD127" i="21"/>
  <c r="AF127" i="21" s="1"/>
  <c r="AB127" i="21"/>
  <c r="C1" i="13"/>
  <c r="C8" i="13"/>
  <c r="C9" i="13" s="1"/>
  <c r="C37" i="27"/>
  <c r="B4" i="27"/>
  <c r="C3" i="27"/>
  <c r="C4" i="27" s="1"/>
  <c r="B40" i="27"/>
  <c r="B34" i="27"/>
  <c r="B5" i="24"/>
  <c r="B22" i="24"/>
  <c r="B24" i="24"/>
  <c r="B24" i="1"/>
  <c r="O11" i="26"/>
  <c r="N11" i="26"/>
  <c r="M11" i="26"/>
  <c r="K11" i="26"/>
  <c r="T11" i="26" s="1"/>
  <c r="O12" i="26"/>
  <c r="N12" i="26"/>
  <c r="M12" i="26"/>
  <c r="K12" i="26"/>
  <c r="I12" i="26"/>
  <c r="AD16" i="21"/>
  <c r="AF16" i="21" s="1"/>
  <c r="AD17" i="21"/>
  <c r="AF17" i="21" s="1"/>
  <c r="AD20" i="21"/>
  <c r="AF20" i="21" s="1"/>
  <c r="AD21" i="21"/>
  <c r="AF21" i="21" s="1"/>
  <c r="AD45" i="21"/>
  <c r="AD46" i="21"/>
  <c r="AD83" i="21"/>
  <c r="AF83" i="21" s="1"/>
  <c r="AD84" i="21"/>
  <c r="AF84" i="21" s="1"/>
  <c r="AD88" i="21"/>
  <c r="AD89" i="21"/>
  <c r="AD100" i="21"/>
  <c r="AD101" i="21"/>
  <c r="AD114" i="21"/>
  <c r="AD115" i="21"/>
  <c r="B24" i="27"/>
  <c r="B23" i="27"/>
  <c r="B8" i="27"/>
  <c r="C8" i="27"/>
  <c r="D18" i="27"/>
  <c r="C17" i="27"/>
  <c r="E16" i="27"/>
  <c r="D15" i="27"/>
  <c r="AE96" i="21"/>
  <c r="AE95" i="21"/>
  <c r="AE94" i="21"/>
  <c r="AE93" i="21"/>
  <c r="AE92" i="21"/>
  <c r="AE91" i="21"/>
  <c r="AE90" i="21"/>
  <c r="AE99" i="21"/>
  <c r="AE98" i="21"/>
  <c r="AE97" i="21"/>
  <c r="AE102" i="21"/>
  <c r="AE103" i="21"/>
  <c r="AE105" i="21"/>
  <c r="AE106" i="21"/>
  <c r="AE107" i="21"/>
  <c r="AE108" i="21"/>
  <c r="AE109" i="21"/>
  <c r="AE110" i="21"/>
  <c r="AE111" i="21"/>
  <c r="AE113" i="21"/>
  <c r="AE112" i="21"/>
  <c r="AE119" i="21"/>
  <c r="AE104" i="21"/>
  <c r="AE4" i="21"/>
  <c r="AE23" i="21"/>
  <c r="AE24" i="21"/>
  <c r="AE25" i="21"/>
  <c r="AE26" i="21"/>
  <c r="AE27" i="21"/>
  <c r="AE28" i="21"/>
  <c r="AE29" i="21"/>
  <c r="AE30" i="21"/>
  <c r="AE31" i="21"/>
  <c r="AE32" i="21"/>
  <c r="AE33" i="21"/>
  <c r="AE34" i="21"/>
  <c r="AE35" i="21"/>
  <c r="AE36" i="21"/>
  <c r="AE37" i="21"/>
  <c r="AE38" i="21"/>
  <c r="AE39" i="21"/>
  <c r="AE40" i="21"/>
  <c r="AE41" i="21"/>
  <c r="AE42" i="21"/>
  <c r="AE43" i="21"/>
  <c r="AE44" i="21"/>
  <c r="AE45" i="21"/>
  <c r="AE46" i="21"/>
  <c r="AE47" i="21"/>
  <c r="AE48" i="21"/>
  <c r="AE49" i="21"/>
  <c r="AE50" i="21"/>
  <c r="AE51" i="21"/>
  <c r="AE52" i="21"/>
  <c r="AE53" i="21"/>
  <c r="AE54" i="21"/>
  <c r="AE55" i="21"/>
  <c r="AE56" i="21"/>
  <c r="AE57" i="21"/>
  <c r="AE58" i="21"/>
  <c r="AE59" i="21"/>
  <c r="AE60" i="21"/>
  <c r="AE61" i="21"/>
  <c r="AE62" i="21"/>
  <c r="AE63" i="21"/>
  <c r="AE64" i="21"/>
  <c r="AE65" i="21"/>
  <c r="AE66" i="21"/>
  <c r="AE67" i="21"/>
  <c r="AE68" i="21"/>
  <c r="AE69" i="21"/>
  <c r="AE70" i="21"/>
  <c r="AE71" i="21"/>
  <c r="AE72" i="21"/>
  <c r="AE73" i="21"/>
  <c r="AE74" i="21"/>
  <c r="AE75" i="21"/>
  <c r="AE76" i="21"/>
  <c r="AE77" i="21"/>
  <c r="AE78" i="21"/>
  <c r="AE79" i="21"/>
  <c r="AE80" i="21"/>
  <c r="AE81" i="21"/>
  <c r="AE82" i="21"/>
  <c r="AE83" i="21"/>
  <c r="AE84" i="21"/>
  <c r="AE85" i="21"/>
  <c r="AE86" i="21"/>
  <c r="AE87" i="21"/>
  <c r="AE88" i="21"/>
  <c r="AE89" i="21"/>
  <c r="AE100" i="21"/>
  <c r="AE101" i="21"/>
  <c r="AE114" i="21"/>
  <c r="AE115" i="21"/>
  <c r="AE116" i="21"/>
  <c r="AE117" i="21"/>
  <c r="AE118" i="21"/>
  <c r="AE120" i="21"/>
  <c r="AE22" i="21"/>
  <c r="AE19" i="21"/>
  <c r="AE18" i="21"/>
  <c r="AE15" i="21"/>
  <c r="AE5" i="21"/>
  <c r="AE6" i="21"/>
  <c r="AE7" i="21"/>
  <c r="AE8" i="21"/>
  <c r="AE11" i="21"/>
  <c r="AE13" i="21"/>
  <c r="M10" i="26"/>
  <c r="L10" i="26" s="1"/>
  <c r="G10" i="26" s="1"/>
  <c r="K8" i="26"/>
  <c r="T8" i="26" s="1"/>
  <c r="L8" i="26" s="1"/>
  <c r="G8" i="26" s="1"/>
  <c r="K10" i="26"/>
  <c r="I10" i="26"/>
  <c r="I8" i="26" s="1"/>
  <c r="I11" i="26" s="1"/>
  <c r="N7" i="26"/>
  <c r="O8" i="26"/>
  <c r="O10" i="26"/>
  <c r="N8" i="26"/>
  <c r="N10" i="26"/>
  <c r="M8" i="26"/>
  <c r="B42" i="24"/>
  <c r="B36" i="24" s="1"/>
  <c r="C36" i="24"/>
  <c r="B7" i="24"/>
  <c r="D20" i="18" l="1"/>
  <c r="B15" i="34"/>
  <c r="D14" i="34"/>
  <c r="E14" i="34" s="1"/>
  <c r="A15" i="34" s="1"/>
  <c r="L12" i="18"/>
  <c r="M12" i="18" s="1"/>
  <c r="G13" i="18"/>
  <c r="G14" i="18" s="1"/>
  <c r="I14" i="18" s="1"/>
  <c r="L14" i="18" s="1"/>
  <c r="M14" i="18" s="1"/>
  <c r="K24" i="6"/>
  <c r="B10" i="6"/>
  <c r="AF115" i="21"/>
  <c r="AF114" i="21"/>
  <c r="AF45" i="21"/>
  <c r="AF101" i="21"/>
  <c r="AF100" i="21"/>
  <c r="AF89" i="21"/>
  <c r="AF88" i="21"/>
  <c r="AF46" i="21"/>
  <c r="L12" i="26"/>
  <c r="G12" i="26" s="1"/>
  <c r="L11" i="26"/>
  <c r="G11" i="26" s="1"/>
  <c r="B17" i="24"/>
  <c r="C115" i="21"/>
  <c r="C101" i="21"/>
  <c r="C89" i="21"/>
  <c r="C84" i="21"/>
  <c r="C46" i="21"/>
  <c r="C21" i="21"/>
  <c r="C17" i="21"/>
  <c r="B16" i="34" l="1"/>
  <c r="D15" i="34"/>
  <c r="E15" i="34" s="1"/>
  <c r="A16" i="34" s="1"/>
  <c r="I13" i="18"/>
  <c r="L13" i="18" s="1"/>
  <c r="M13" i="18" s="1"/>
  <c r="B17" i="34" l="1"/>
  <c r="D17" i="34" s="1"/>
  <c r="E17" i="34" s="1"/>
  <c r="D16" i="34"/>
  <c r="E16" i="34" s="1"/>
  <c r="A17" i="34" s="1"/>
  <c r="C57" i="13"/>
  <c r="C55" i="13"/>
  <c r="C53" i="13"/>
  <c r="C11" i="13"/>
  <c r="C12" i="13" s="1"/>
  <c r="E3" i="18"/>
  <c r="E1" i="18"/>
  <c r="F9" i="21"/>
  <c r="B115" i="21"/>
  <c r="A115" i="21"/>
  <c r="B101" i="21"/>
  <c r="A101" i="21"/>
  <c r="B89" i="21"/>
  <c r="A89" i="21"/>
  <c r="B84" i="21"/>
  <c r="A84" i="21"/>
  <c r="B46" i="21"/>
  <c r="A46" i="21"/>
  <c r="A21" i="21"/>
  <c r="A17" i="21"/>
  <c r="F34" i="9"/>
  <c r="I127" i="21"/>
  <c r="X99" i="21"/>
  <c r="T99" i="21"/>
  <c r="K99" i="21"/>
  <c r="X98" i="21"/>
  <c r="T98" i="21"/>
  <c r="K98" i="21"/>
  <c r="X97" i="21"/>
  <c r="T97" i="21"/>
  <c r="K97" i="21"/>
  <c r="X120" i="21"/>
  <c r="T120" i="21"/>
  <c r="K120" i="21"/>
  <c r="X117" i="21"/>
  <c r="T117" i="21"/>
  <c r="K117" i="21"/>
  <c r="X93" i="21"/>
  <c r="T93" i="21"/>
  <c r="K93" i="21"/>
  <c r="X92" i="21"/>
  <c r="T92" i="21"/>
  <c r="K92" i="21"/>
  <c r="X91" i="21"/>
  <c r="T91" i="21"/>
  <c r="K91" i="21"/>
  <c r="X90" i="21"/>
  <c r="T90" i="21"/>
  <c r="K90" i="21"/>
  <c r="X36" i="21"/>
  <c r="T36" i="21"/>
  <c r="K36" i="21"/>
  <c r="X35" i="21"/>
  <c r="T35" i="21"/>
  <c r="K35" i="21"/>
  <c r="X34" i="21"/>
  <c r="T34" i="21"/>
  <c r="K34" i="21"/>
  <c r="X33" i="21"/>
  <c r="T33" i="21"/>
  <c r="K33" i="21"/>
  <c r="X27" i="21"/>
  <c r="T27" i="21"/>
  <c r="K27" i="21"/>
  <c r="Z23" i="21"/>
  <c r="X23" i="21"/>
  <c r="T23" i="21"/>
  <c r="K23" i="21"/>
  <c r="X113" i="21"/>
  <c r="T113" i="21"/>
  <c r="K113" i="21"/>
  <c r="X112" i="21"/>
  <c r="T112" i="21"/>
  <c r="K112" i="21"/>
  <c r="X111" i="21"/>
  <c r="T111" i="21"/>
  <c r="K111" i="21"/>
  <c r="X119" i="21"/>
  <c r="T119" i="21"/>
  <c r="K119" i="21"/>
  <c r="X108" i="21"/>
  <c r="T108" i="21"/>
  <c r="K108" i="21"/>
  <c r="X107" i="21"/>
  <c r="T107" i="21"/>
  <c r="K107" i="21"/>
  <c r="X85" i="21"/>
  <c r="T85" i="21"/>
  <c r="K85" i="21"/>
  <c r="X105" i="21"/>
  <c r="T105" i="21"/>
  <c r="L105" i="21"/>
  <c r="K105" i="21"/>
  <c r="X32" i="21"/>
  <c r="T32" i="21"/>
  <c r="L32" i="21"/>
  <c r="K32" i="21"/>
  <c r="X103" i="21"/>
  <c r="T103" i="21"/>
  <c r="L103" i="21"/>
  <c r="K103" i="21"/>
  <c r="X102" i="21"/>
  <c r="T102" i="21"/>
  <c r="L102" i="21"/>
  <c r="K102" i="21"/>
  <c r="X79" i="21"/>
  <c r="T79" i="21"/>
  <c r="K79" i="21"/>
  <c r="X78" i="21"/>
  <c r="T78" i="21"/>
  <c r="K78" i="21"/>
  <c r="X74" i="21"/>
  <c r="T74" i="21"/>
  <c r="K74" i="21"/>
  <c r="X96" i="21"/>
  <c r="T96" i="21"/>
  <c r="K96" i="21"/>
  <c r="X95" i="21"/>
  <c r="T95" i="21"/>
  <c r="K95" i="21"/>
  <c r="X71" i="21"/>
  <c r="T71" i="21"/>
  <c r="K71" i="21"/>
  <c r="X68" i="21"/>
  <c r="T68" i="21"/>
  <c r="K68" i="21"/>
  <c r="X104" i="21"/>
  <c r="T104" i="21"/>
  <c r="K104" i="21"/>
  <c r="X65" i="21"/>
  <c r="T65" i="21"/>
  <c r="K65" i="21"/>
  <c r="X94" i="21"/>
  <c r="T94" i="21"/>
  <c r="K94" i="21"/>
  <c r="X28" i="21"/>
  <c r="T28" i="21"/>
  <c r="K28" i="21"/>
  <c r="X58" i="21"/>
  <c r="T58" i="21"/>
  <c r="K58" i="21"/>
  <c r="X56" i="21"/>
  <c r="T56" i="21"/>
  <c r="K56" i="21"/>
  <c r="X55" i="21"/>
  <c r="T55" i="21"/>
  <c r="K55" i="21"/>
  <c r="X54" i="21"/>
  <c r="T54" i="21"/>
  <c r="K54" i="21"/>
  <c r="X24" i="21"/>
  <c r="T24" i="21"/>
  <c r="K24" i="21"/>
  <c r="X52" i="21"/>
  <c r="T52" i="21"/>
  <c r="K52" i="21"/>
  <c r="X51" i="21"/>
  <c r="T51" i="21"/>
  <c r="K51" i="21"/>
  <c r="X50" i="21"/>
  <c r="T50" i="21"/>
  <c r="K50" i="21"/>
  <c r="X49" i="21"/>
  <c r="T49" i="21"/>
  <c r="K49" i="21"/>
  <c r="X116" i="21"/>
  <c r="T116" i="21"/>
  <c r="L116" i="21"/>
  <c r="K116" i="21"/>
  <c r="X87" i="21"/>
  <c r="T87" i="21"/>
  <c r="K87" i="21"/>
  <c r="X82" i="21"/>
  <c r="T82" i="21"/>
  <c r="K82" i="21"/>
  <c r="X44" i="21"/>
  <c r="T44" i="21"/>
  <c r="K44" i="21"/>
  <c r="X81" i="21"/>
  <c r="T81" i="21"/>
  <c r="K81" i="21"/>
  <c r="X110" i="21"/>
  <c r="T110" i="21"/>
  <c r="K110" i="21"/>
  <c r="X86" i="21"/>
  <c r="T86" i="21"/>
  <c r="K86" i="21"/>
  <c r="X43" i="21"/>
  <c r="T43" i="21"/>
  <c r="K43" i="21"/>
  <c r="Z19" i="21"/>
  <c r="X19" i="21"/>
  <c r="T19" i="21"/>
  <c r="K19" i="21"/>
  <c r="Z18" i="21"/>
  <c r="X18" i="21"/>
  <c r="T18" i="21"/>
  <c r="K18" i="21"/>
  <c r="X80" i="21"/>
  <c r="T80" i="21"/>
  <c r="K80" i="21"/>
  <c r="X109" i="21"/>
  <c r="T109" i="21"/>
  <c r="K109" i="21"/>
  <c r="X42" i="21"/>
  <c r="T42" i="21"/>
  <c r="K42" i="21"/>
  <c r="X41" i="21"/>
  <c r="T41" i="21"/>
  <c r="K41" i="21"/>
  <c r="X118" i="21"/>
  <c r="T118" i="21"/>
  <c r="K118" i="21"/>
  <c r="X40" i="21"/>
  <c r="T40" i="21"/>
  <c r="L40" i="21"/>
  <c r="K40" i="21"/>
  <c r="X106" i="21"/>
  <c r="T106" i="21"/>
  <c r="K106" i="21"/>
  <c r="X39" i="21"/>
  <c r="T39" i="21"/>
  <c r="K39" i="21"/>
  <c r="X77" i="21"/>
  <c r="T77" i="21"/>
  <c r="K77" i="21"/>
  <c r="X76" i="21"/>
  <c r="T76" i="21"/>
  <c r="K76" i="21"/>
  <c r="X75" i="21"/>
  <c r="T75" i="21"/>
  <c r="K75" i="21"/>
  <c r="X38" i="21"/>
  <c r="T38" i="21"/>
  <c r="K38" i="21"/>
  <c r="X37" i="21"/>
  <c r="T37" i="21"/>
  <c r="K37" i="21"/>
  <c r="X73" i="21"/>
  <c r="T73" i="21"/>
  <c r="K73" i="21"/>
  <c r="X72" i="21"/>
  <c r="T72" i="21"/>
  <c r="K72" i="21"/>
  <c r="X70" i="21"/>
  <c r="T70" i="21"/>
  <c r="K70" i="21"/>
  <c r="X69" i="21"/>
  <c r="T69" i="21"/>
  <c r="X67" i="21"/>
  <c r="T67" i="21"/>
  <c r="K67" i="21"/>
  <c r="X66" i="21"/>
  <c r="T66" i="21"/>
  <c r="X64" i="21"/>
  <c r="T64" i="21"/>
  <c r="K64" i="21"/>
  <c r="X63" i="21"/>
  <c r="T63" i="21"/>
  <c r="K63" i="21"/>
  <c r="X31" i="21"/>
  <c r="T31" i="21"/>
  <c r="K31" i="21"/>
  <c r="X62" i="21"/>
  <c r="T62" i="21"/>
  <c r="K62" i="21"/>
  <c r="X61" i="21"/>
  <c r="T61" i="21"/>
  <c r="K61" i="21"/>
  <c r="X30" i="21"/>
  <c r="T30" i="21"/>
  <c r="K30" i="21"/>
  <c r="X29" i="21"/>
  <c r="T29" i="21"/>
  <c r="L29" i="21"/>
  <c r="K29" i="21"/>
  <c r="X60" i="21"/>
  <c r="T60" i="21"/>
  <c r="K60" i="21"/>
  <c r="X59" i="21"/>
  <c r="T59" i="21"/>
  <c r="K59" i="21"/>
  <c r="X26" i="21"/>
  <c r="T26" i="21"/>
  <c r="K26" i="21"/>
  <c r="X25" i="21"/>
  <c r="T25" i="21"/>
  <c r="K25" i="21"/>
  <c r="X57" i="21"/>
  <c r="T57" i="21"/>
  <c r="K57" i="21"/>
  <c r="X53" i="21"/>
  <c r="T53" i="21"/>
  <c r="K53" i="21"/>
  <c r="X48" i="21"/>
  <c r="T48" i="21"/>
  <c r="K48" i="21"/>
  <c r="X47" i="21"/>
  <c r="T47" i="21"/>
  <c r="K47" i="21"/>
  <c r="Z22" i="21"/>
  <c r="X22" i="21"/>
  <c r="K22" i="21"/>
  <c r="X15" i="21"/>
  <c r="T15" i="21"/>
  <c r="K15" i="21"/>
  <c r="Z13" i="21"/>
  <c r="X13" i="21"/>
  <c r="T13" i="21"/>
  <c r="K13" i="21"/>
  <c r="Z11" i="21"/>
  <c r="X11" i="21"/>
  <c r="T11" i="21"/>
  <c r="K11" i="21"/>
  <c r="X9" i="21"/>
  <c r="T9" i="21"/>
  <c r="Z8" i="21"/>
  <c r="X8" i="21"/>
  <c r="T8" i="21"/>
  <c r="K8" i="21"/>
  <c r="Z7" i="21"/>
  <c r="X7" i="21"/>
  <c r="T7" i="21"/>
  <c r="K7" i="21"/>
  <c r="Z6" i="21"/>
  <c r="X6" i="21"/>
  <c r="T6" i="21"/>
  <c r="K6" i="21"/>
  <c r="Z5" i="21"/>
  <c r="X5" i="21"/>
  <c r="T5" i="21"/>
  <c r="K5" i="21"/>
  <c r="X4" i="21"/>
  <c r="K4" i="21"/>
  <c r="Y4" i="21" s="1"/>
  <c r="F4" i="21"/>
  <c r="B57" i="15"/>
  <c r="D12" i="9"/>
  <c r="Q5" i="20"/>
  <c r="E33" i="9" s="1"/>
  <c r="G33" i="9" s="1"/>
  <c r="P5" i="20"/>
  <c r="E32" i="9" s="1"/>
  <c r="G32" i="9" s="1"/>
  <c r="D101" i="21" s="1"/>
  <c r="O5" i="20"/>
  <c r="E31" i="9" s="1"/>
  <c r="G31" i="9" s="1"/>
  <c r="D89" i="21" s="1"/>
  <c r="N5" i="20"/>
  <c r="E30" i="9" s="1"/>
  <c r="G30" i="9" s="1"/>
  <c r="D84" i="21" s="1"/>
  <c r="M5" i="20"/>
  <c r="E29" i="9" s="1"/>
  <c r="G29" i="9" s="1"/>
  <c r="D46" i="21" s="1"/>
  <c r="L5" i="20"/>
  <c r="E28" i="9" s="1"/>
  <c r="G28" i="9" s="1"/>
  <c r="K5" i="20"/>
  <c r="E27" i="9" s="1"/>
  <c r="G27" i="9" s="1"/>
  <c r="J5" i="20"/>
  <c r="E26" i="9" s="1"/>
  <c r="G26" i="9" s="1"/>
  <c r="D21" i="21" s="1"/>
  <c r="I5" i="20"/>
  <c r="E25" i="9" s="1"/>
  <c r="G25" i="9" s="1"/>
  <c r="D17" i="21" s="1"/>
  <c r="H5" i="20"/>
  <c r="E24" i="9" s="1"/>
  <c r="G24" i="9" s="1"/>
  <c r="F18" i="20"/>
  <c r="G18" i="20"/>
  <c r="F16" i="20"/>
  <c r="G16" i="20"/>
  <c r="F10" i="20"/>
  <c r="G10" i="20"/>
  <c r="G14" i="20"/>
  <c r="G11" i="20"/>
  <c r="G15" i="20"/>
  <c r="G19" i="20"/>
  <c r="G20" i="20"/>
  <c r="G21" i="20"/>
  <c r="G23" i="20"/>
  <c r="G22" i="20"/>
  <c r="G26" i="20"/>
  <c r="G9" i="20"/>
  <c r="F14" i="20"/>
  <c r="F11" i="20"/>
  <c r="F15" i="20"/>
  <c r="F19" i="20"/>
  <c r="F20" i="20"/>
  <c r="F21" i="20"/>
  <c r="F23" i="20"/>
  <c r="F22" i="20"/>
  <c r="F26" i="20"/>
  <c r="F9" i="20"/>
  <c r="D21" i="9"/>
  <c r="A10" i="19"/>
  <c r="B57" i="1"/>
  <c r="E35" i="18"/>
  <c r="B7" i="17"/>
  <c r="C7" i="17"/>
  <c r="E4" i="17"/>
  <c r="E3" i="17"/>
  <c r="B40" i="15"/>
  <c r="D14" i="9"/>
  <c r="D13" i="9"/>
  <c r="C13" i="18" l="1"/>
  <c r="F10" i="18"/>
  <c r="B58" i="1"/>
  <c r="E7" i="18" s="1"/>
  <c r="E37" i="18"/>
  <c r="E45" i="18" s="1"/>
  <c r="F6" i="19"/>
  <c r="E8" i="19" s="1"/>
  <c r="E5" i="18"/>
  <c r="C12" i="18" s="1"/>
  <c r="D12" i="18" s="1"/>
  <c r="F5" i="19"/>
  <c r="E36" i="18"/>
  <c r="E8" i="18"/>
  <c r="F5" i="20"/>
  <c r="E7" i="17"/>
  <c r="C13" i="13"/>
  <c r="C49" i="9"/>
  <c r="A11" i="19"/>
  <c r="D75" i="21"/>
  <c r="D50" i="21"/>
  <c r="D54" i="21"/>
  <c r="D52" i="21"/>
  <c r="D64" i="21"/>
  <c r="D67" i="21"/>
  <c r="D63" i="21"/>
  <c r="D81" i="21"/>
  <c r="D56" i="21"/>
  <c r="D80" i="21"/>
  <c r="D77" i="21"/>
  <c r="D62" i="21"/>
  <c r="D59" i="21"/>
  <c r="D79" i="21"/>
  <c r="D69" i="21"/>
  <c r="D73" i="21"/>
  <c r="D48" i="21"/>
  <c r="D58" i="21"/>
  <c r="D72" i="21"/>
  <c r="D51" i="21"/>
  <c r="D71" i="21"/>
  <c r="D61" i="21"/>
  <c r="D65" i="21"/>
  <c r="D66" i="21"/>
  <c r="D68" i="21"/>
  <c r="D47" i="21"/>
  <c r="D82" i="21"/>
  <c r="D55" i="21"/>
  <c r="D53" i="21"/>
  <c r="D57" i="21"/>
  <c r="D74" i="21"/>
  <c r="D78" i="21"/>
  <c r="D76" i="21"/>
  <c r="D49" i="21"/>
  <c r="D70" i="21"/>
  <c r="D60" i="21"/>
  <c r="D99" i="21"/>
  <c r="D94" i="21"/>
  <c r="D91" i="21"/>
  <c r="D92" i="21"/>
  <c r="D90" i="21"/>
  <c r="D98" i="21"/>
  <c r="D93" i="21"/>
  <c r="D97" i="21"/>
  <c r="D96" i="21"/>
  <c r="D95" i="21"/>
  <c r="D103" i="21"/>
  <c r="D107" i="21"/>
  <c r="D102" i="21"/>
  <c r="D109" i="21"/>
  <c r="D106" i="21"/>
  <c r="D113" i="21"/>
  <c r="D112" i="21"/>
  <c r="D111" i="21"/>
  <c r="D105" i="21"/>
  <c r="D110" i="21"/>
  <c r="D104" i="21"/>
  <c r="D108" i="21"/>
  <c r="D44" i="21"/>
  <c r="D26" i="21"/>
  <c r="D31" i="21"/>
  <c r="D36" i="21"/>
  <c r="D33" i="21"/>
  <c r="D22" i="21"/>
  <c r="D29" i="21"/>
  <c r="D23" i="21"/>
  <c r="D41" i="21"/>
  <c r="D37" i="21"/>
  <c r="D39" i="21"/>
  <c r="D28" i="21"/>
  <c r="D42" i="21"/>
  <c r="D38" i="21"/>
  <c r="D43" i="21"/>
  <c r="D25" i="21"/>
  <c r="D27" i="21"/>
  <c r="D34" i="21"/>
  <c r="D30" i="21"/>
  <c r="D35" i="21"/>
  <c r="D40" i="21"/>
  <c r="D32" i="21"/>
  <c r="D24" i="21"/>
  <c r="D87" i="21"/>
  <c r="D86" i="21"/>
  <c r="D85" i="21"/>
  <c r="D19" i="21"/>
  <c r="D18" i="21"/>
  <c r="F4" i="18"/>
  <c r="E34" i="9"/>
  <c r="G34" i="9" s="1"/>
  <c r="D115" i="21" s="1"/>
  <c r="K66" i="21"/>
  <c r="D11" i="9"/>
  <c r="B23" i="15"/>
  <c r="D24" i="15"/>
  <c r="D23" i="15" s="1"/>
  <c r="C24" i="15"/>
  <c r="C23" i="15" s="1"/>
  <c r="B24" i="15"/>
  <c r="F4" i="19" l="1"/>
  <c r="D8" i="19" s="1"/>
  <c r="A12" i="19"/>
  <c r="D117" i="21"/>
  <c r="D119" i="21"/>
  <c r="D118" i="21"/>
  <c r="D120" i="21"/>
  <c r="D116" i="21"/>
  <c r="E81" i="8"/>
  <c r="D11" i="18" l="1"/>
  <c r="E9" i="18"/>
  <c r="E62" i="18"/>
  <c r="E61" i="18" s="1"/>
  <c r="E63" i="18" s="1"/>
  <c r="E66" i="18" s="1"/>
  <c r="B72" i="1" s="1"/>
  <c r="E44" i="18"/>
  <c r="E50" i="18" s="1"/>
  <c r="G45" i="18"/>
  <c r="B8" i="19"/>
  <c r="D38" i="9"/>
  <c r="A13" i="19"/>
  <c r="E6" i="18"/>
  <c r="G9" i="14"/>
  <c r="B6" i="14"/>
  <c r="C29" i="8"/>
  <c r="B106" i="1"/>
  <c r="B105" i="1"/>
  <c r="B101" i="1"/>
  <c r="D9" i="19" l="1"/>
  <c r="H8" i="19"/>
  <c r="F8" i="19"/>
  <c r="C31" i="18"/>
  <c r="E46" i="18"/>
  <c r="F44" i="18"/>
  <c r="C54" i="13"/>
  <c r="C56" i="13"/>
  <c r="C58" i="13"/>
  <c r="C45" i="13" s="1"/>
  <c r="A14" i="19"/>
  <c r="E67" i="18"/>
  <c r="D10" i="19" l="1"/>
  <c r="D11" i="19" s="1"/>
  <c r="E9" i="19"/>
  <c r="G8" i="19"/>
  <c r="H9" i="19"/>
  <c r="I9" i="19" s="1"/>
  <c r="C59" i="13"/>
  <c r="A15" i="19"/>
  <c r="H10" i="19" l="1"/>
  <c r="I10" i="19" s="1"/>
  <c r="D12" i="19"/>
  <c r="H11" i="19"/>
  <c r="I11" i="19" s="1"/>
  <c r="B9" i="19"/>
  <c r="A16" i="19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35" i="19" s="1"/>
  <c r="A136" i="19" s="1"/>
  <c r="A137" i="19" s="1"/>
  <c r="A138" i="19" s="1"/>
  <c r="H32" i="1"/>
  <c r="H33" i="1" s="1"/>
  <c r="D13" i="19" l="1"/>
  <c r="H12" i="19"/>
  <c r="I12" i="19" s="1"/>
  <c r="B10" i="19"/>
  <c r="D14" i="19" l="1"/>
  <c r="H13" i="19"/>
  <c r="I13" i="19" s="1"/>
  <c r="B11" i="19"/>
  <c r="AC45" i="8"/>
  <c r="F27" i="8"/>
  <c r="E16" i="8"/>
  <c r="D16" i="8"/>
  <c r="M39" i="8"/>
  <c r="A46" i="8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D25" i="8"/>
  <c r="D15" i="19" l="1"/>
  <c r="H14" i="19"/>
  <c r="I14" i="19" s="1"/>
  <c r="B12" i="19"/>
  <c r="AE45" i="8"/>
  <c r="Z45" i="8"/>
  <c r="AB45" i="8"/>
  <c r="AD45" i="8"/>
  <c r="AA45" i="8"/>
  <c r="C2" i="6"/>
  <c r="E30" i="1"/>
  <c r="D16" i="19" l="1"/>
  <c r="H15" i="19"/>
  <c r="I15" i="19" s="1"/>
  <c r="B13" i="19"/>
  <c r="D10" i="6"/>
  <c r="D17" i="19" l="1"/>
  <c r="H17" i="19" s="1"/>
  <c r="H16" i="19"/>
  <c r="I16" i="19" s="1"/>
  <c r="B14" i="19"/>
  <c r="I17" i="19" l="1"/>
  <c r="F17" i="19"/>
  <c r="G17" i="19" s="1"/>
  <c r="D18" i="19"/>
  <c r="B15" i="19"/>
  <c r="B8" i="6"/>
  <c r="D19" i="19" l="1"/>
  <c r="D20" i="19" s="1"/>
  <c r="F18" i="19"/>
  <c r="H18" i="19"/>
  <c r="B16" i="19"/>
  <c r="B17" i="19" s="1"/>
  <c r="J39" i="6"/>
  <c r="AL2" i="28" s="1"/>
  <c r="J40" i="6"/>
  <c r="AM2" i="28" s="1"/>
  <c r="J41" i="6"/>
  <c r="AN2" i="28" s="1"/>
  <c r="J42" i="6"/>
  <c r="AO2" i="28" s="1"/>
  <c r="J45" i="6"/>
  <c r="AR2" i="28" s="1"/>
  <c r="J46" i="6"/>
  <c r="AS2" i="28" s="1"/>
  <c r="R3" i="28" s="1"/>
  <c r="J29" i="6"/>
  <c r="J35" i="6"/>
  <c r="J37" i="6"/>
  <c r="AJ2" i="28" s="1"/>
  <c r="J31" i="6"/>
  <c r="AD2" i="28" s="1"/>
  <c r="J32" i="6"/>
  <c r="AE2" i="28" s="1"/>
  <c r="J30" i="6"/>
  <c r="AC2" i="28" s="1"/>
  <c r="J36" i="6"/>
  <c r="J44" i="6"/>
  <c r="AQ2" i="28" s="1"/>
  <c r="J43" i="6"/>
  <c r="AP2" i="28" s="1"/>
  <c r="J38" i="6"/>
  <c r="AK2" i="28" s="1"/>
  <c r="G18" i="19" l="1"/>
  <c r="H20" i="19"/>
  <c r="I20" i="19"/>
  <c r="J20" i="19" s="1"/>
  <c r="D21" i="19"/>
  <c r="F20" i="19"/>
  <c r="I18" i="19"/>
  <c r="J18" i="19" s="1"/>
  <c r="F19" i="19"/>
  <c r="H19" i="19"/>
  <c r="J17" i="19"/>
  <c r="B18" i="19"/>
  <c r="AI2" i="28"/>
  <c r="J9" i="6"/>
  <c r="AH2" i="28"/>
  <c r="J10" i="6"/>
  <c r="AR3" i="28"/>
  <c r="AG2" i="28"/>
  <c r="AF2" i="28"/>
  <c r="AS3" i="28"/>
  <c r="R4" i="28" s="1"/>
  <c r="AB2" i="28"/>
  <c r="J11" i="6"/>
  <c r="G19" i="19" l="1"/>
  <c r="K17" i="19"/>
  <c r="L17" i="19"/>
  <c r="K18" i="19"/>
  <c r="L18" i="19"/>
  <c r="K20" i="19"/>
  <c r="L20" i="19"/>
  <c r="H21" i="19"/>
  <c r="I21" i="19" s="1"/>
  <c r="J21" i="19" s="1"/>
  <c r="F21" i="19"/>
  <c r="D22" i="19"/>
  <c r="G20" i="19"/>
  <c r="I19" i="19"/>
  <c r="B19" i="19"/>
  <c r="M3" i="28"/>
  <c r="D3" i="28"/>
  <c r="B2" i="28"/>
  <c r="Y3" i="28" s="1"/>
  <c r="AH3" i="28" s="1"/>
  <c r="J12" i="6"/>
  <c r="AS4" i="28"/>
  <c r="R5" i="28" s="1"/>
  <c r="K21" i="19" l="1"/>
  <c r="L21" i="19"/>
  <c r="J19" i="19"/>
  <c r="B20" i="19"/>
  <c r="B21" i="19" s="1"/>
  <c r="B22" i="19" s="1"/>
  <c r="F22" i="19"/>
  <c r="H22" i="19"/>
  <c r="I22" i="19" s="1"/>
  <c r="J22" i="19" s="1"/>
  <c r="D23" i="19"/>
  <c r="G21" i="19"/>
  <c r="AI3" i="28"/>
  <c r="AF3" i="28"/>
  <c r="AC3" i="28"/>
  <c r="AN3" i="28"/>
  <c r="AG3" i="28"/>
  <c r="AL3" i="28"/>
  <c r="AE3" i="28"/>
  <c r="AO3" i="28"/>
  <c r="AM3" i="28"/>
  <c r="AD3" i="28"/>
  <c r="AJ3" i="28"/>
  <c r="AK3" i="28"/>
  <c r="E3" i="28"/>
  <c r="F3" i="28" s="1"/>
  <c r="K22" i="19" l="1"/>
  <c r="L22" i="19"/>
  <c r="K19" i="19"/>
  <c r="L19" i="19"/>
  <c r="G22" i="19"/>
  <c r="B23" i="19"/>
  <c r="H23" i="19"/>
  <c r="F23" i="19"/>
  <c r="D24" i="19"/>
  <c r="C10" i="6"/>
  <c r="B24" i="19" l="1"/>
  <c r="G23" i="19"/>
  <c r="I23" i="19"/>
  <c r="J23" i="19" s="1"/>
  <c r="H24" i="19"/>
  <c r="I24" i="19" s="1"/>
  <c r="J24" i="19" s="1"/>
  <c r="D25" i="19"/>
  <c r="D26" i="19" s="1"/>
  <c r="F24" i="19"/>
  <c r="F18" i="8"/>
  <c r="B5" i="15"/>
  <c r="K24" i="19" l="1"/>
  <c r="L24" i="19"/>
  <c r="K23" i="19"/>
  <c r="L23" i="19"/>
  <c r="D27" i="19"/>
  <c r="H26" i="19"/>
  <c r="I26" i="19" s="1"/>
  <c r="J26" i="19" s="1"/>
  <c r="F26" i="19"/>
  <c r="H25" i="19"/>
  <c r="F25" i="19"/>
  <c r="G24" i="19"/>
  <c r="B25" i="19"/>
  <c r="B26" i="19" s="1"/>
  <c r="F20" i="8"/>
  <c r="B37" i="1"/>
  <c r="E49" i="18"/>
  <c r="K26" i="19" l="1"/>
  <c r="L26" i="19"/>
  <c r="B27" i="19"/>
  <c r="D28" i="19"/>
  <c r="H27" i="19"/>
  <c r="F27" i="19"/>
  <c r="G25" i="19"/>
  <c r="G26" i="19"/>
  <c r="I25" i="19"/>
  <c r="J25" i="19" s="1"/>
  <c r="D45" i="27"/>
  <c r="F45" i="27" s="1"/>
  <c r="C37" i="1"/>
  <c r="D37" i="1"/>
  <c r="E53" i="18"/>
  <c r="B41" i="1"/>
  <c r="C51" i="13"/>
  <c r="B40" i="1"/>
  <c r="E51" i="18"/>
  <c r="E52" i="18"/>
  <c r="B42" i="1" s="1"/>
  <c r="B69" i="1" s="1"/>
  <c r="B43" i="1" l="1"/>
  <c r="K25" i="19"/>
  <c r="L25" i="19"/>
  <c r="D29" i="19"/>
  <c r="F28" i="19"/>
  <c r="H28" i="19"/>
  <c r="G27" i="19"/>
  <c r="I27" i="19"/>
  <c r="J27" i="19" s="1"/>
  <c r="B28" i="19"/>
  <c r="B68" i="1"/>
  <c r="B70" i="1"/>
  <c r="E52" i="13"/>
  <c r="E57" i="13" s="1"/>
  <c r="G28" i="19" l="1"/>
  <c r="K27" i="19"/>
  <c r="L27" i="19"/>
  <c r="B29" i="19"/>
  <c r="I28" i="19"/>
  <c r="J28" i="19" s="1"/>
  <c r="H29" i="19"/>
  <c r="I29" i="19" s="1"/>
  <c r="J29" i="19" s="1"/>
  <c r="D30" i="19"/>
  <c r="F29" i="19"/>
  <c r="C29" i="18"/>
  <c r="K29" i="19" l="1"/>
  <c r="L29" i="19"/>
  <c r="K28" i="19"/>
  <c r="L28" i="19"/>
  <c r="H30" i="19"/>
  <c r="I30" i="19" s="1"/>
  <c r="J30" i="19" s="1"/>
  <c r="F30" i="19"/>
  <c r="D31" i="19"/>
  <c r="G29" i="19"/>
  <c r="B30" i="19"/>
  <c r="I3" i="28"/>
  <c r="P3" i="28" s="1"/>
  <c r="X2" i="28"/>
  <c r="K30" i="19" l="1"/>
  <c r="L30" i="19"/>
  <c r="B31" i="19"/>
  <c r="F31" i="19"/>
  <c r="D32" i="19"/>
  <c r="H31" i="19"/>
  <c r="G30" i="19"/>
  <c r="Z2" i="28"/>
  <c r="F5" i="24"/>
  <c r="AQ3" i="28"/>
  <c r="AR4" i="28" s="1"/>
  <c r="AS5" i="28" s="1"/>
  <c r="R6" i="28" s="1"/>
  <c r="AA2" i="28"/>
  <c r="H2" i="28"/>
  <c r="G3" i="28" s="1"/>
  <c r="H3" i="28"/>
  <c r="V3" i="28"/>
  <c r="G31" i="19" l="1"/>
  <c r="F32" i="19"/>
  <c r="H32" i="19"/>
  <c r="D33" i="19"/>
  <c r="I31" i="19"/>
  <c r="J31" i="19" s="1"/>
  <c r="B32" i="19"/>
  <c r="D4" i="28"/>
  <c r="T2" i="28"/>
  <c r="W3" i="28" s="1"/>
  <c r="J24" i="6"/>
  <c r="AP3" i="28"/>
  <c r="AQ4" i="28" s="1"/>
  <c r="AR5" i="28" s="1"/>
  <c r="U3" i="28"/>
  <c r="M2" i="28"/>
  <c r="J3" i="28"/>
  <c r="L2" i="28"/>
  <c r="G32" i="19" l="1"/>
  <c r="K31" i="19"/>
  <c r="L31" i="19"/>
  <c r="B33" i="19"/>
  <c r="H33" i="19"/>
  <c r="I33" i="19" s="1"/>
  <c r="J33" i="19" s="1"/>
  <c r="D34" i="19"/>
  <c r="F33" i="19"/>
  <c r="I32" i="19"/>
  <c r="J32" i="19" s="1"/>
  <c r="X3" i="28"/>
  <c r="Q3" i="28" s="1"/>
  <c r="N2" i="28"/>
  <c r="S2" i="28"/>
  <c r="AP4" i="28"/>
  <c r="AQ5" i="28" s="1"/>
  <c r="AR6" i="28" s="1"/>
  <c r="AS6" i="28"/>
  <c r="K32" i="19" l="1"/>
  <c r="L32" i="19"/>
  <c r="K33" i="19"/>
  <c r="L33" i="19"/>
  <c r="H34" i="19"/>
  <c r="I34" i="19" s="1"/>
  <c r="J34" i="19" s="1"/>
  <c r="F34" i="19"/>
  <c r="D35" i="19"/>
  <c r="G33" i="19"/>
  <c r="B34" i="19"/>
  <c r="T3" i="28"/>
  <c r="W4" i="28" s="1"/>
  <c r="Z3" i="28"/>
  <c r="V4" i="28"/>
  <c r="AA3" i="28"/>
  <c r="F6" i="24"/>
  <c r="AB3" i="28"/>
  <c r="B3" i="28" s="1"/>
  <c r="L3" i="28"/>
  <c r="AS7" i="28"/>
  <c r="R8" i="28" s="1"/>
  <c r="R7" i="28"/>
  <c r="Y4" i="28" l="1"/>
  <c r="B12" i="1"/>
  <c r="K34" i="19"/>
  <c r="L34" i="19"/>
  <c r="B35" i="19"/>
  <c r="F35" i="19"/>
  <c r="D36" i="19"/>
  <c r="H35" i="19"/>
  <c r="I35" i="19" s="1"/>
  <c r="J35" i="19" s="1"/>
  <c r="G34" i="19"/>
  <c r="O3" i="28"/>
  <c r="E4" i="28"/>
  <c r="U4" i="28"/>
  <c r="X4" i="28" s="1"/>
  <c r="H16" i="6"/>
  <c r="F1" i="24"/>
  <c r="C3" i="28"/>
  <c r="B13" i="1" s="1"/>
  <c r="K3" i="28"/>
  <c r="S3" i="28"/>
  <c r="N3" i="28"/>
  <c r="G35" i="19" l="1"/>
  <c r="K35" i="19"/>
  <c r="L35" i="19"/>
  <c r="H36" i="19"/>
  <c r="I36" i="19" s="1"/>
  <c r="J36" i="19" s="1"/>
  <c r="D37" i="19"/>
  <c r="F36" i="19"/>
  <c r="B36" i="19"/>
  <c r="AF4" i="28"/>
  <c r="AM4" i="28"/>
  <c r="AI4" i="28"/>
  <c r="AG4" i="28"/>
  <c r="AK4" i="28"/>
  <c r="AN4" i="28"/>
  <c r="AC4" i="28"/>
  <c r="AJ4" i="28"/>
  <c r="AE4" i="28"/>
  <c r="AD4" i="28"/>
  <c r="AL4" i="28"/>
  <c r="AO4" i="28"/>
  <c r="AH4" i="28"/>
  <c r="F4" i="28"/>
  <c r="G4" i="28"/>
  <c r="V5" i="28"/>
  <c r="H17" i="6"/>
  <c r="H18" i="6" s="1"/>
  <c r="F15" i="24"/>
  <c r="G15" i="24" s="1"/>
  <c r="F16" i="24"/>
  <c r="G16" i="24" s="1"/>
  <c r="F23" i="24"/>
  <c r="G23" i="24" s="1"/>
  <c r="F17" i="24"/>
  <c r="G17" i="24" s="1"/>
  <c r="F7" i="24"/>
  <c r="F21" i="24"/>
  <c r="G21" i="24" s="1"/>
  <c r="F14" i="24"/>
  <c r="G14" i="24" s="1"/>
  <c r="F22" i="24"/>
  <c r="G22" i="24" s="1"/>
  <c r="F24" i="24"/>
  <c r="G24" i="24" s="1"/>
  <c r="F18" i="24"/>
  <c r="G18" i="24" s="1"/>
  <c r="F19" i="24"/>
  <c r="G19" i="24" s="1"/>
  <c r="F20" i="24"/>
  <c r="G20" i="24" s="1"/>
  <c r="K36" i="19" l="1"/>
  <c r="L36" i="19"/>
  <c r="B37" i="19"/>
  <c r="H37" i="19"/>
  <c r="I37" i="19" s="1"/>
  <c r="J37" i="19" s="1"/>
  <c r="D38" i="19"/>
  <c r="F37" i="19"/>
  <c r="G36" i="19"/>
  <c r="AP5" i="28"/>
  <c r="AQ6" i="28" s="1"/>
  <c r="AR7" i="28" s="1"/>
  <c r="AS8" i="28" s="1"/>
  <c r="R9" i="28" s="1"/>
  <c r="Z4" i="28"/>
  <c r="H4" i="28"/>
  <c r="T4" i="28" s="1"/>
  <c r="W5" i="28" s="1"/>
  <c r="AA4" i="28"/>
  <c r="U5" i="28" s="1"/>
  <c r="D5" i="28"/>
  <c r="M4" i="28"/>
  <c r="AB4" i="28"/>
  <c r="K4" i="28" s="1"/>
  <c r="F9" i="24"/>
  <c r="G13" i="24"/>
  <c r="F4" i="24"/>
  <c r="F8" i="24"/>
  <c r="K37" i="19" l="1"/>
  <c r="L37" i="19"/>
  <c r="G37" i="19"/>
  <c r="D39" i="19"/>
  <c r="F38" i="19"/>
  <c r="H38" i="19"/>
  <c r="I38" i="19" s="1"/>
  <c r="J38" i="19" s="1"/>
  <c r="B38" i="19"/>
  <c r="X5" i="28"/>
  <c r="V6" i="28" s="1"/>
  <c r="L4" i="28"/>
  <c r="I4" i="28"/>
  <c r="P4" i="28" s="1"/>
  <c r="Q4" i="28" s="1"/>
  <c r="K38" i="19" l="1"/>
  <c r="L38" i="19"/>
  <c r="G38" i="19"/>
  <c r="B39" i="19"/>
  <c r="F39" i="19"/>
  <c r="H39" i="19"/>
  <c r="I39" i="19" s="1"/>
  <c r="J39" i="19" s="1"/>
  <c r="D40" i="19"/>
  <c r="B4" i="28"/>
  <c r="Y5" i="28" l="1"/>
  <c r="I16" i="6"/>
  <c r="G39" i="19"/>
  <c r="K39" i="19"/>
  <c r="L39" i="19"/>
  <c r="F40" i="19"/>
  <c r="H40" i="19"/>
  <c r="D41" i="19"/>
  <c r="B40" i="19"/>
  <c r="O4" i="28"/>
  <c r="E5" i="28"/>
  <c r="G5" i="28" s="1"/>
  <c r="AB5" i="28" s="1"/>
  <c r="C4" i="28"/>
  <c r="S4" i="28"/>
  <c r="N4" i="28"/>
  <c r="J4" i="28"/>
  <c r="G40" i="19" l="1"/>
  <c r="H41" i="19"/>
  <c r="I41" i="19" s="1"/>
  <c r="J41" i="19" s="1"/>
  <c r="D42" i="19"/>
  <c r="F41" i="19"/>
  <c r="B41" i="19"/>
  <c r="I40" i="19"/>
  <c r="J40" i="19" s="1"/>
  <c r="AH5" i="28"/>
  <c r="AN5" i="28"/>
  <c r="AK5" i="28"/>
  <c r="AI5" i="28"/>
  <c r="AM5" i="28"/>
  <c r="AL5" i="28"/>
  <c r="AJ5" i="28"/>
  <c r="AG5" i="28"/>
  <c r="AO5" i="28"/>
  <c r="AE5" i="28"/>
  <c r="AF5" i="28"/>
  <c r="AD5" i="28"/>
  <c r="AC5" i="28"/>
  <c r="F5" i="28"/>
  <c r="K41" i="19" l="1"/>
  <c r="L41" i="19"/>
  <c r="K40" i="19"/>
  <c r="L40" i="19"/>
  <c r="F42" i="19"/>
  <c r="H42" i="19"/>
  <c r="D43" i="19"/>
  <c r="B42" i="19"/>
  <c r="G41" i="19"/>
  <c r="AP6" i="28"/>
  <c r="AQ7" i="28" s="1"/>
  <c r="M5" i="28"/>
  <c r="Z5" i="28"/>
  <c r="D6" i="28"/>
  <c r="I5" i="28"/>
  <c r="P5" i="28" s="1"/>
  <c r="H5" i="28"/>
  <c r="AA5" i="28"/>
  <c r="K5" i="28"/>
  <c r="B5" i="28"/>
  <c r="Y6" i="28" s="1"/>
  <c r="G42" i="19" l="1"/>
  <c r="I42" i="19"/>
  <c r="J42" i="19" s="1"/>
  <c r="K42" i="19"/>
  <c r="L42" i="19"/>
  <c r="B43" i="19"/>
  <c r="F43" i="19"/>
  <c r="H43" i="19"/>
  <c r="I43" i="19" s="1"/>
  <c r="J43" i="19" s="1"/>
  <c r="D44" i="19"/>
  <c r="U6" i="28"/>
  <c r="E6" i="28"/>
  <c r="G6" i="28" s="1"/>
  <c r="AB6" i="28" s="1"/>
  <c r="AR8" i="28"/>
  <c r="T5" i="28"/>
  <c r="W6" i="28" s="1"/>
  <c r="L5" i="28"/>
  <c r="Q5" i="28"/>
  <c r="O5" i="28" s="1"/>
  <c r="C5" i="28"/>
  <c r="S5" i="28"/>
  <c r="J5" i="28"/>
  <c r="N5" i="28"/>
  <c r="X6" i="28" l="1"/>
  <c r="K43" i="19"/>
  <c r="L43" i="19"/>
  <c r="D45" i="19"/>
  <c r="F44" i="19"/>
  <c r="H44" i="19"/>
  <c r="G44" i="19" s="1"/>
  <c r="G43" i="19"/>
  <c r="B44" i="19"/>
  <c r="V7" i="28"/>
  <c r="AS9" i="28"/>
  <c r="R10" i="28" s="1"/>
  <c r="AL6" i="28"/>
  <c r="AK6" i="28"/>
  <c r="AI6" i="28"/>
  <c r="AO6" i="28"/>
  <c r="AJ6" i="28"/>
  <c r="AF6" i="28"/>
  <c r="AH6" i="28"/>
  <c r="AC6" i="28"/>
  <c r="AG6" i="28"/>
  <c r="AM6" i="28"/>
  <c r="AN6" i="28"/>
  <c r="AE6" i="28"/>
  <c r="AD6" i="28"/>
  <c r="F6" i="28"/>
  <c r="B45" i="19" l="1"/>
  <c r="I44" i="19"/>
  <c r="J44" i="19" s="1"/>
  <c r="F45" i="19"/>
  <c r="D46" i="19"/>
  <c r="H45" i="19"/>
  <c r="K6" i="28"/>
  <c r="H6" i="28"/>
  <c r="AA6" i="28"/>
  <c r="M6" i="28"/>
  <c r="Z6" i="28"/>
  <c r="D7" i="28"/>
  <c r="AP7" i="28"/>
  <c r="AQ8" i="28" s="1"/>
  <c r="AR9" i="28" s="1"/>
  <c r="AS10" i="28" s="1"/>
  <c r="R11" i="28" s="1"/>
  <c r="I6" i="28"/>
  <c r="P6" i="28" s="1"/>
  <c r="B6" i="28"/>
  <c r="Y7" i="28" s="1"/>
  <c r="G45" i="19" l="1"/>
  <c r="K44" i="19"/>
  <c r="L44" i="19"/>
  <c r="D47" i="19"/>
  <c r="H46" i="19"/>
  <c r="I46" i="19" s="1"/>
  <c r="J46" i="19" s="1"/>
  <c r="F46" i="19"/>
  <c r="I45" i="19"/>
  <c r="J45" i="19" s="1"/>
  <c r="B46" i="19"/>
  <c r="B47" i="19" s="1"/>
  <c r="AC7" i="28"/>
  <c r="AK7" i="28"/>
  <c r="AH7" i="28"/>
  <c r="AI7" i="28"/>
  <c r="AF7" i="28"/>
  <c r="AO7" i="28"/>
  <c r="AL7" i="28"/>
  <c r="L6" i="28"/>
  <c r="T6" i="28"/>
  <c r="W7" i="28" s="1"/>
  <c r="AE7" i="28"/>
  <c r="AD7" i="28"/>
  <c r="AM7" i="28"/>
  <c r="U7" i="28"/>
  <c r="AN7" i="28"/>
  <c r="AG7" i="28"/>
  <c r="Q6" i="28"/>
  <c r="O6" i="28" s="1"/>
  <c r="E7" i="28"/>
  <c r="G7" i="28" s="1"/>
  <c r="C6" i="28"/>
  <c r="S6" i="28"/>
  <c r="N6" i="28"/>
  <c r="J6" i="28"/>
  <c r="K46" i="19" l="1"/>
  <c r="L46" i="19"/>
  <c r="K45" i="19"/>
  <c r="L45" i="19"/>
  <c r="G46" i="19"/>
  <c r="D48" i="19"/>
  <c r="D49" i="19" s="1"/>
  <c r="F47" i="19"/>
  <c r="H47" i="19"/>
  <c r="AP8" i="28"/>
  <c r="AQ9" i="28" s="1"/>
  <c r="AR10" i="28" s="1"/>
  <c r="AS11" i="28" s="1"/>
  <c r="R12" i="28" s="1"/>
  <c r="AJ7" i="28"/>
  <c r="M7" i="28" s="1"/>
  <c r="X7" i="28"/>
  <c r="V8" i="28" s="1"/>
  <c r="D8" i="28"/>
  <c r="H7" i="28"/>
  <c r="F7" i="28"/>
  <c r="G47" i="19" l="1"/>
  <c r="H49" i="19"/>
  <c r="I49" i="19" s="1"/>
  <c r="J49" i="19" s="1"/>
  <c r="D50" i="19"/>
  <c r="F49" i="19"/>
  <c r="F48" i="19"/>
  <c r="H48" i="19"/>
  <c r="I47" i="19"/>
  <c r="J47" i="19" s="1"/>
  <c r="B48" i="19"/>
  <c r="B49" i="19" s="1"/>
  <c r="T7" i="28"/>
  <c r="W8" i="28" s="1"/>
  <c r="Z7" i="28"/>
  <c r="AA7" i="28"/>
  <c r="L7" i="28"/>
  <c r="AB7" i="28"/>
  <c r="G48" i="19" l="1"/>
  <c r="I48" i="19"/>
  <c r="J48" i="19" s="1"/>
  <c r="K48" i="19" s="1"/>
  <c r="K49" i="19"/>
  <c r="L49" i="19"/>
  <c r="K47" i="19"/>
  <c r="L47" i="19"/>
  <c r="B50" i="19"/>
  <c r="G49" i="19"/>
  <c r="H50" i="19"/>
  <c r="I50" i="19" s="1"/>
  <c r="J50" i="19" s="1"/>
  <c r="D51" i="19"/>
  <c r="F50" i="19"/>
  <c r="U8" i="28"/>
  <c r="X8" i="28" s="1"/>
  <c r="V9" i="28" s="1"/>
  <c r="K7" i="28"/>
  <c r="B7" i="28"/>
  <c r="Y8" i="28" s="1"/>
  <c r="I7" i="28"/>
  <c r="P7" i="28" s="1"/>
  <c r="Q7" i="28" s="1"/>
  <c r="L48" i="19" l="1"/>
  <c r="K50" i="19"/>
  <c r="L50" i="19"/>
  <c r="G50" i="19"/>
  <c r="D52" i="19"/>
  <c r="H51" i="19"/>
  <c r="I51" i="19" s="1"/>
  <c r="J51" i="19" s="1"/>
  <c r="F51" i="19"/>
  <c r="B51" i="19"/>
  <c r="S7" i="28"/>
  <c r="E8" i="28"/>
  <c r="G8" i="28" s="1"/>
  <c r="J7" i="28"/>
  <c r="O7" i="28"/>
  <c r="N7" i="28"/>
  <c r="C7" i="28"/>
  <c r="F8" i="28" l="1"/>
  <c r="B52" i="19"/>
  <c r="K51" i="19"/>
  <c r="L51" i="19"/>
  <c r="G51" i="19"/>
  <c r="D53" i="19"/>
  <c r="H52" i="19"/>
  <c r="I52" i="19" s="1"/>
  <c r="J52" i="19" s="1"/>
  <c r="F52" i="19"/>
  <c r="AH8" i="28"/>
  <c r="AK8" i="28"/>
  <c r="AJ8" i="28"/>
  <c r="AE8" i="28"/>
  <c r="AL8" i="28"/>
  <c r="AG8" i="28"/>
  <c r="AI8" i="28"/>
  <c r="AD8" i="28"/>
  <c r="AO8" i="28"/>
  <c r="AN8" i="28"/>
  <c r="AF8" i="28"/>
  <c r="AM8" i="28"/>
  <c r="AC8" i="28"/>
  <c r="AB8" i="28"/>
  <c r="AP9" i="28" l="1"/>
  <c r="AQ10" i="28" s="1"/>
  <c r="AR11" i="28" s="1"/>
  <c r="AS12" i="28" s="1"/>
  <c r="R13" i="28" s="1"/>
  <c r="B53" i="19"/>
  <c r="K52" i="19"/>
  <c r="L52" i="19"/>
  <c r="G52" i="19"/>
  <c r="H53" i="19"/>
  <c r="I53" i="19" s="1"/>
  <c r="J53" i="19" s="1"/>
  <c r="D54" i="19"/>
  <c r="F53" i="19"/>
  <c r="B8" i="28"/>
  <c r="Y9" i="28" s="1"/>
  <c r="I8" i="28"/>
  <c r="P8" i="28" s="1"/>
  <c r="Q8" i="28" s="1"/>
  <c r="M8" i="28"/>
  <c r="Z8" i="28"/>
  <c r="AA8" i="28"/>
  <c r="H8" i="28"/>
  <c r="D9" i="28"/>
  <c r="K8" i="28"/>
  <c r="B54" i="19" l="1"/>
  <c r="S8" i="28"/>
  <c r="E9" i="28"/>
  <c r="G9" i="28" s="1"/>
  <c r="K53" i="19"/>
  <c r="L53" i="19"/>
  <c r="G53" i="19"/>
  <c r="H54" i="19"/>
  <c r="I54" i="19" s="1"/>
  <c r="J54" i="19" s="1"/>
  <c r="D55" i="19"/>
  <c r="F54" i="19"/>
  <c r="C8" i="28"/>
  <c r="AO9" i="28"/>
  <c r="T8" i="28"/>
  <c r="W9" i="28" s="1"/>
  <c r="L8" i="28"/>
  <c r="J8" i="28"/>
  <c r="U9" i="28"/>
  <c r="O8" i="28"/>
  <c r="N8" i="28"/>
  <c r="F9" i="28" l="1"/>
  <c r="K54" i="19"/>
  <c r="L54" i="19"/>
  <c r="G54" i="19"/>
  <c r="D56" i="19"/>
  <c r="H55" i="19"/>
  <c r="I55" i="19" s="1"/>
  <c r="J55" i="19" s="1"/>
  <c r="F55" i="19"/>
  <c r="B55" i="19"/>
  <c r="AJ9" i="28"/>
  <c r="AM9" i="28"/>
  <c r="AL9" i="28"/>
  <c r="AN9" i="28"/>
  <c r="AP10" i="28" s="1"/>
  <c r="AQ11" i="28" s="1"/>
  <c r="AR12" i="28" s="1"/>
  <c r="AS13" i="28" s="1"/>
  <c r="R14" i="28" s="1"/>
  <c r="AE9" i="28"/>
  <c r="AG9" i="28"/>
  <c r="AC9" i="28"/>
  <c r="AK9" i="28"/>
  <c r="AH9" i="28"/>
  <c r="AI9" i="28"/>
  <c r="AD9" i="28"/>
  <c r="X9" i="28"/>
  <c r="V10" i="28" s="1"/>
  <c r="AF9" i="28"/>
  <c r="AB9" i="28"/>
  <c r="K55" i="19" l="1"/>
  <c r="L55" i="19"/>
  <c r="G55" i="19"/>
  <c r="H56" i="19"/>
  <c r="I56" i="19" s="1"/>
  <c r="J56" i="19" s="1"/>
  <c r="D57" i="19"/>
  <c r="F56" i="19"/>
  <c r="B56" i="19"/>
  <c r="AA9" i="28"/>
  <c r="M9" i="28"/>
  <c r="H9" i="28"/>
  <c r="L9" i="28" s="1"/>
  <c r="D10" i="28"/>
  <c r="Z9" i="28"/>
  <c r="K9" i="28"/>
  <c r="B9" i="28"/>
  <c r="Y10" i="28" s="1"/>
  <c r="I9" i="28"/>
  <c r="P9" i="28" s="1"/>
  <c r="Q9" i="28" s="1"/>
  <c r="U10" i="28" l="1"/>
  <c r="B57" i="19"/>
  <c r="K56" i="19"/>
  <c r="L56" i="19"/>
  <c r="G56" i="19"/>
  <c r="H57" i="19"/>
  <c r="I57" i="19" s="1"/>
  <c r="J57" i="19" s="1"/>
  <c r="D58" i="19"/>
  <c r="F57" i="19"/>
  <c r="T9" i="28"/>
  <c r="W10" i="28" s="1"/>
  <c r="X10" i="28" s="1"/>
  <c r="V11" i="28" s="1"/>
  <c r="S9" i="28"/>
  <c r="O9" i="28"/>
  <c r="E10" i="28"/>
  <c r="G10" i="28" s="1"/>
  <c r="C9" i="28"/>
  <c r="N9" i="28"/>
  <c r="J9" i="28"/>
  <c r="B58" i="19" l="1"/>
  <c r="K57" i="19"/>
  <c r="L57" i="19"/>
  <c r="G57" i="19"/>
  <c r="H58" i="19"/>
  <c r="I58" i="19" s="1"/>
  <c r="J58" i="19" s="1"/>
  <c r="D59" i="19"/>
  <c r="F58" i="19"/>
  <c r="AN10" i="28"/>
  <c r="AK10" i="28"/>
  <c r="AL10" i="28"/>
  <c r="AJ10" i="28"/>
  <c r="AF10" i="28"/>
  <c r="AH10" i="28"/>
  <c r="AO10" i="28"/>
  <c r="AI10" i="28"/>
  <c r="AG10" i="28"/>
  <c r="AD10" i="28"/>
  <c r="AM10" i="28"/>
  <c r="AE10" i="28"/>
  <c r="AC10" i="28"/>
  <c r="F10" i="28"/>
  <c r="AB10" i="28"/>
  <c r="K58" i="19" l="1"/>
  <c r="L58" i="19"/>
  <c r="G58" i="19"/>
  <c r="D60" i="19"/>
  <c r="H59" i="19"/>
  <c r="I59" i="19" s="1"/>
  <c r="J59" i="19" s="1"/>
  <c r="F59" i="19"/>
  <c r="B59" i="19"/>
  <c r="D11" i="28"/>
  <c r="Z10" i="28"/>
  <c r="M10" i="28"/>
  <c r="AP11" i="28"/>
  <c r="AQ12" i="28" s="1"/>
  <c r="AR13" i="28" s="1"/>
  <c r="AS14" i="28" s="1"/>
  <c r="R15" i="28" s="1"/>
  <c r="AA10" i="28"/>
  <c r="H10" i="28"/>
  <c r="K10" i="28"/>
  <c r="B10" i="28"/>
  <c r="Y11" i="28" s="1"/>
  <c r="I10" i="28"/>
  <c r="P10" i="28" s="1"/>
  <c r="Q10" i="28" s="1"/>
  <c r="K59" i="19" l="1"/>
  <c r="L59" i="19"/>
  <c r="G59" i="19"/>
  <c r="D61" i="19"/>
  <c r="H60" i="19"/>
  <c r="F60" i="19"/>
  <c r="B60" i="19"/>
  <c r="U11" i="28"/>
  <c r="S10" i="28"/>
  <c r="T10" i="28"/>
  <c r="W11" i="28" s="1"/>
  <c r="L10" i="28"/>
  <c r="E11" i="28"/>
  <c r="G11" i="28" s="1"/>
  <c r="O10" i="28"/>
  <c r="C10" i="28"/>
  <c r="N10" i="28"/>
  <c r="J10" i="28"/>
  <c r="B61" i="19" l="1"/>
  <c r="G60" i="19"/>
  <c r="I60" i="19"/>
  <c r="J60" i="19" s="1"/>
  <c r="D62" i="19"/>
  <c r="H61" i="19"/>
  <c r="I61" i="19" s="1"/>
  <c r="J61" i="19" s="1"/>
  <c r="F61" i="19"/>
  <c r="AG11" i="28"/>
  <c r="AE11" i="28"/>
  <c r="AN11" i="28"/>
  <c r="AD11" i="28"/>
  <c r="AK11" i="28"/>
  <c r="AC11" i="28"/>
  <c r="AO11" i="28"/>
  <c r="AJ11" i="28"/>
  <c r="AH11" i="28"/>
  <c r="AM11" i="28"/>
  <c r="AI11" i="28"/>
  <c r="AL11" i="28"/>
  <c r="AF11" i="28"/>
  <c r="F11" i="28"/>
  <c r="X11" i="28"/>
  <c r="V12" i="28" s="1"/>
  <c r="AB11" i="28"/>
  <c r="K61" i="19" l="1"/>
  <c r="L61" i="19"/>
  <c r="K60" i="19"/>
  <c r="L60" i="19"/>
  <c r="G61" i="19"/>
  <c r="H62" i="19"/>
  <c r="I62" i="19" s="1"/>
  <c r="J62" i="19" s="1"/>
  <c r="D63" i="19"/>
  <c r="F62" i="19"/>
  <c r="B62" i="19"/>
  <c r="I11" i="28"/>
  <c r="P11" i="28" s="1"/>
  <c r="Q11" i="28" s="1"/>
  <c r="M11" i="28"/>
  <c r="Z11" i="28"/>
  <c r="AP12" i="28"/>
  <c r="AQ13" i="28" s="1"/>
  <c r="AR14" i="28" s="1"/>
  <c r="AS15" i="28" s="1"/>
  <c r="R16" i="28" s="1"/>
  <c r="D12" i="28"/>
  <c r="H11" i="28"/>
  <c r="AA11" i="28"/>
  <c r="K11" i="28"/>
  <c r="B11" i="28"/>
  <c r="Y12" i="28" s="1"/>
  <c r="J11" i="28" l="1"/>
  <c r="K62" i="19"/>
  <c r="L62" i="19"/>
  <c r="G62" i="19"/>
  <c r="B63" i="19"/>
  <c r="H63" i="19"/>
  <c r="I63" i="19" s="1"/>
  <c r="J63" i="19" s="1"/>
  <c r="D64" i="19"/>
  <c r="F63" i="19"/>
  <c r="U12" i="28"/>
  <c r="O11" i="28"/>
  <c r="E12" i="28"/>
  <c r="G12" i="28" s="1"/>
  <c r="AB12" i="28" s="1"/>
  <c r="T11" i="28"/>
  <c r="W12" i="28" s="1"/>
  <c r="X12" i="28" s="1"/>
  <c r="L11" i="28"/>
  <c r="N11" i="28"/>
  <c r="S11" i="28"/>
  <c r="C11" i="28"/>
  <c r="K63" i="19" l="1"/>
  <c r="L63" i="19"/>
  <c r="G63" i="19"/>
  <c r="D65" i="19"/>
  <c r="H64" i="19"/>
  <c r="F64" i="19"/>
  <c r="B64" i="19"/>
  <c r="F12" i="28"/>
  <c r="V13" i="28"/>
  <c r="AL12" i="28"/>
  <c r="AE12" i="28"/>
  <c r="AF12" i="28"/>
  <c r="AK12" i="28"/>
  <c r="AO12" i="28"/>
  <c r="AJ12" i="28"/>
  <c r="AH12" i="28"/>
  <c r="AD12" i="28"/>
  <c r="AN12" i="28"/>
  <c r="AI12" i="28"/>
  <c r="AM12" i="28"/>
  <c r="AG12" i="28"/>
  <c r="AC12" i="28"/>
  <c r="I12" i="28" s="1"/>
  <c r="P12" i="28" s="1"/>
  <c r="Q12" i="28" s="1"/>
  <c r="G64" i="19" l="1"/>
  <c r="I64" i="19"/>
  <c r="J64" i="19" s="1"/>
  <c r="B65" i="19"/>
  <c r="H65" i="19"/>
  <c r="I65" i="19" s="1"/>
  <c r="J65" i="19" s="1"/>
  <c r="D66" i="19"/>
  <c r="F65" i="19"/>
  <c r="K12" i="28"/>
  <c r="B12" i="28"/>
  <c r="Y13" i="28" s="1"/>
  <c r="H12" i="28"/>
  <c r="J12" i="28" s="1"/>
  <c r="AA12" i="28"/>
  <c r="Z12" i="28"/>
  <c r="M12" i="28"/>
  <c r="D13" i="28"/>
  <c r="AP13" i="28"/>
  <c r="AQ14" i="28" s="1"/>
  <c r="AR15" i="28" s="1"/>
  <c r="AS16" i="28" s="1"/>
  <c r="R17" i="28" s="1"/>
  <c r="K65" i="19" l="1"/>
  <c r="L65" i="19"/>
  <c r="K64" i="19"/>
  <c r="L64" i="19"/>
  <c r="G65" i="19"/>
  <c r="D67" i="19"/>
  <c r="H66" i="19"/>
  <c r="I66" i="19" s="1"/>
  <c r="J66" i="19" s="1"/>
  <c r="F66" i="19"/>
  <c r="B66" i="19"/>
  <c r="E13" i="28"/>
  <c r="G13" i="28" s="1"/>
  <c r="N12" i="28"/>
  <c r="C12" i="28"/>
  <c r="U13" i="28"/>
  <c r="T12" i="28"/>
  <c r="W13" i="28" s="1"/>
  <c r="L12" i="28"/>
  <c r="O12" i="28"/>
  <c r="S12" i="28"/>
  <c r="G66" i="19" l="1"/>
  <c r="K66" i="19"/>
  <c r="L66" i="19"/>
  <c r="D68" i="19"/>
  <c r="H67" i="19"/>
  <c r="I67" i="19" s="1"/>
  <c r="J67" i="19" s="1"/>
  <c r="F67" i="19"/>
  <c r="B67" i="19"/>
  <c r="F13" i="28"/>
  <c r="X13" i="28"/>
  <c r="AM13" i="28"/>
  <c r="AL13" i="28"/>
  <c r="AD13" i="28"/>
  <c r="AF13" i="28"/>
  <c r="AO13" i="28"/>
  <c r="AI13" i="28"/>
  <c r="AJ13" i="28"/>
  <c r="AG13" i="28"/>
  <c r="AN13" i="28"/>
  <c r="AC13" i="28"/>
  <c r="AK13" i="28"/>
  <c r="AE13" i="28"/>
  <c r="AH13" i="28"/>
  <c r="AB13" i="28"/>
  <c r="G67" i="19" l="1"/>
  <c r="K67" i="19"/>
  <c r="L67" i="19"/>
  <c r="B68" i="19"/>
  <c r="D69" i="19"/>
  <c r="H68" i="19"/>
  <c r="I68" i="19" s="1"/>
  <c r="J68" i="19" s="1"/>
  <c r="F68" i="19"/>
  <c r="D14" i="28"/>
  <c r="Z13" i="28"/>
  <c r="M13" i="28"/>
  <c r="AP14" i="28"/>
  <c r="AQ15" i="28" s="1"/>
  <c r="AR16" i="28" s="1"/>
  <c r="AS17" i="28" s="1"/>
  <c r="R18" i="28" s="1"/>
  <c r="AA13" i="28"/>
  <c r="U14" i="28" s="1"/>
  <c r="H13" i="28"/>
  <c r="V14" i="28"/>
  <c r="K13" i="28"/>
  <c r="B13" i="28"/>
  <c r="Y14" i="28" s="1"/>
  <c r="I13" i="28"/>
  <c r="P13" i="28" s="1"/>
  <c r="Q13" i="28" s="1"/>
  <c r="G68" i="19" l="1"/>
  <c r="K68" i="19"/>
  <c r="L68" i="19"/>
  <c r="H69" i="19"/>
  <c r="D70" i="19"/>
  <c r="I69" i="19"/>
  <c r="J69" i="19" s="1"/>
  <c r="F69" i="19"/>
  <c r="B69" i="19"/>
  <c r="E14" i="28"/>
  <c r="G14" i="28" s="1"/>
  <c r="AB14" i="28" s="1"/>
  <c r="T13" i="28"/>
  <c r="W14" i="28" s="1"/>
  <c r="X14" i="28" s="1"/>
  <c r="L13" i="28"/>
  <c r="O13" i="28"/>
  <c r="C13" i="28"/>
  <c r="J13" i="28"/>
  <c r="S13" i="28"/>
  <c r="N13" i="28"/>
  <c r="K69" i="19" l="1"/>
  <c r="L69" i="19"/>
  <c r="G69" i="19"/>
  <c r="B70" i="19"/>
  <c r="D71" i="19"/>
  <c r="H70" i="19"/>
  <c r="G70" i="19" s="1"/>
  <c r="F70" i="19"/>
  <c r="V15" i="28"/>
  <c r="AJ14" i="28"/>
  <c r="AF14" i="28"/>
  <c r="AO14" i="28"/>
  <c r="AM14" i="28"/>
  <c r="AK14" i="28"/>
  <c r="AD14" i="28"/>
  <c r="I14" i="28" s="1"/>
  <c r="P14" i="28" s="1"/>
  <c r="Q14" i="28" s="1"/>
  <c r="AG14" i="28"/>
  <c r="AI14" i="28"/>
  <c r="AL14" i="28"/>
  <c r="AN14" i="28"/>
  <c r="AE14" i="28"/>
  <c r="AC14" i="28"/>
  <c r="AH14" i="28"/>
  <c r="F14" i="28"/>
  <c r="I70" i="19" l="1"/>
  <c r="J70" i="19" s="1"/>
  <c r="K70" i="19"/>
  <c r="L70" i="19"/>
  <c r="B71" i="19"/>
  <c r="H71" i="19"/>
  <c r="I71" i="19"/>
  <c r="J71" i="19" s="1"/>
  <c r="D72" i="19"/>
  <c r="F71" i="19"/>
  <c r="D15" i="28"/>
  <c r="AP15" i="28"/>
  <c r="AQ16" i="28" s="1"/>
  <c r="AR17" i="28" s="1"/>
  <c r="AS18" i="28" s="1"/>
  <c r="R19" i="28" s="1"/>
  <c r="Z14" i="28"/>
  <c r="M14" i="28"/>
  <c r="B14" i="28"/>
  <c r="Y15" i="28" s="1"/>
  <c r="K14" i="28"/>
  <c r="H14" i="28"/>
  <c r="J14" i="28" s="1"/>
  <c r="AA14" i="28"/>
  <c r="G71" i="19" l="1"/>
  <c r="K71" i="19"/>
  <c r="L71" i="19"/>
  <c r="B72" i="19"/>
  <c r="H72" i="19"/>
  <c r="D73" i="19"/>
  <c r="I72" i="19"/>
  <c r="J72" i="19" s="1"/>
  <c r="F72" i="19"/>
  <c r="AI15" i="28"/>
  <c r="N14" i="28"/>
  <c r="S14" i="28"/>
  <c r="AN15" i="28"/>
  <c r="AD15" i="28"/>
  <c r="AL15" i="28"/>
  <c r="AE15" i="28"/>
  <c r="C14" i="28"/>
  <c r="U15" i="28"/>
  <c r="AO15" i="28"/>
  <c r="AK15" i="28"/>
  <c r="E15" i="28"/>
  <c r="G15" i="28" s="1"/>
  <c r="AB15" i="28" s="1"/>
  <c r="AJ15" i="28"/>
  <c r="O14" i="28"/>
  <c r="AM15" i="28"/>
  <c r="AC15" i="28"/>
  <c r="T14" i="28"/>
  <c r="W15" i="28" s="1"/>
  <c r="L14" i="28"/>
  <c r="AH15" i="28"/>
  <c r="AG15" i="28"/>
  <c r="G72" i="19" l="1"/>
  <c r="X15" i="28"/>
  <c r="K72" i="19"/>
  <c r="L72" i="19"/>
  <c r="D74" i="19"/>
  <c r="H73" i="19"/>
  <c r="F73" i="19"/>
  <c r="B73" i="19"/>
  <c r="F15" i="28"/>
  <c r="D16" i="28"/>
  <c r="AF15" i="28"/>
  <c r="K15" i="28" s="1"/>
  <c r="AP16" i="28"/>
  <c r="AQ17" i="28" s="1"/>
  <c r="AR18" i="28" s="1"/>
  <c r="AS19" i="28" s="1"/>
  <c r="R20" i="28" s="1"/>
  <c r="V16" i="28"/>
  <c r="H15" i="28"/>
  <c r="AA15" i="28"/>
  <c r="I15" i="28"/>
  <c r="P15" i="28" s="1"/>
  <c r="Q15" i="28" s="1"/>
  <c r="G73" i="19" l="1"/>
  <c r="I73" i="19"/>
  <c r="J73" i="19" s="1"/>
  <c r="K73" i="19" s="1"/>
  <c r="H74" i="19"/>
  <c r="I74" i="19"/>
  <c r="J74" i="19" s="1"/>
  <c r="K74" i="19" s="1"/>
  <c r="D75" i="19"/>
  <c r="F74" i="19"/>
  <c r="B74" i="19"/>
  <c r="Z15" i="28"/>
  <c r="U16" i="28" s="1"/>
  <c r="M15" i="28"/>
  <c r="B15" i="28"/>
  <c r="Y16" i="28" s="1"/>
  <c r="AK16" i="28" s="1"/>
  <c r="T15" i="28"/>
  <c r="W16" i="28" s="1"/>
  <c r="L15" i="28"/>
  <c r="J15" i="28"/>
  <c r="G74" i="19" l="1"/>
  <c r="L73" i="19"/>
  <c r="B75" i="19"/>
  <c r="AO16" i="28"/>
  <c r="AE16" i="28"/>
  <c r="D76" i="19"/>
  <c r="H75" i="19"/>
  <c r="G75" i="19" s="1"/>
  <c r="F75" i="19"/>
  <c r="AD16" i="28"/>
  <c r="S15" i="28"/>
  <c r="N15" i="28"/>
  <c r="AF16" i="28"/>
  <c r="O15" i="28"/>
  <c r="AC16" i="28"/>
  <c r="X16" i="28"/>
  <c r="V17" i="28" s="1"/>
  <c r="AI16" i="28"/>
  <c r="AJ16" i="28"/>
  <c r="AG16" i="28"/>
  <c r="C15" i="28"/>
  <c r="AL16" i="28"/>
  <c r="E16" i="28"/>
  <c r="G16" i="28" s="1"/>
  <c r="AB16" i="28" s="1"/>
  <c r="AN16" i="28"/>
  <c r="AP17" i="28" s="1"/>
  <c r="AQ18" i="28" s="1"/>
  <c r="AR19" i="28" s="1"/>
  <c r="AS20" i="28" s="1"/>
  <c r="R21" i="28" s="1"/>
  <c r="AH16" i="28"/>
  <c r="AM16" i="28"/>
  <c r="I75" i="19" l="1"/>
  <c r="J75" i="19" s="1"/>
  <c r="K75" i="19" s="1"/>
  <c r="D77" i="19"/>
  <c r="H76" i="19"/>
  <c r="I76" i="19"/>
  <c r="J76" i="19" s="1"/>
  <c r="K76" i="19" s="1"/>
  <c r="F76" i="19"/>
  <c r="B76" i="19"/>
  <c r="M16" i="28"/>
  <c r="D17" i="28"/>
  <c r="F16" i="28"/>
  <c r="H16" i="28"/>
  <c r="T16" i="28" s="1"/>
  <c r="W17" i="28" s="1"/>
  <c r="Z16" i="28"/>
  <c r="AA16" i="28"/>
  <c r="K16" i="28"/>
  <c r="I16" i="28"/>
  <c r="P16" i="28" s="1"/>
  <c r="Q16" i="28" s="1"/>
  <c r="B16" i="28"/>
  <c r="Y17" i="28" s="1"/>
  <c r="G76" i="19" l="1"/>
  <c r="D78" i="19"/>
  <c r="I77" i="19"/>
  <c r="J77" i="19" s="1"/>
  <c r="K77" i="19" s="1"/>
  <c r="H77" i="19"/>
  <c r="G77" i="19" s="1"/>
  <c r="F77" i="19"/>
  <c r="B77" i="19"/>
  <c r="U17" i="28"/>
  <c r="X17" i="28" s="1"/>
  <c r="V18" i="28" s="1"/>
  <c r="L16" i="28"/>
  <c r="AD17" i="28"/>
  <c r="AH17" i="28"/>
  <c r="AN17" i="28"/>
  <c r="AO17" i="28"/>
  <c r="AL17" i="28"/>
  <c r="AI17" i="28"/>
  <c r="AF17" i="28"/>
  <c r="AG17" i="28"/>
  <c r="AJ17" i="28"/>
  <c r="AM17" i="28"/>
  <c r="AE17" i="28"/>
  <c r="AK17" i="28"/>
  <c r="AC17" i="28"/>
  <c r="O16" i="28"/>
  <c r="E17" i="28"/>
  <c r="G17" i="28" s="1"/>
  <c r="C16" i="28"/>
  <c r="S16" i="28"/>
  <c r="N16" i="28"/>
  <c r="J16" i="28"/>
  <c r="B78" i="19" l="1"/>
  <c r="H78" i="19"/>
  <c r="D79" i="19"/>
  <c r="F78" i="19"/>
  <c r="AP18" i="28"/>
  <c r="AQ19" i="28" s="1"/>
  <c r="AR20" i="28" s="1"/>
  <c r="AS21" i="28" s="1"/>
  <c r="R22" i="28" s="1"/>
  <c r="D18" i="28"/>
  <c r="AA17" i="28"/>
  <c r="H17" i="28"/>
  <c r="T17" i="28" s="1"/>
  <c r="W18" i="28" s="1"/>
  <c r="Z17" i="28"/>
  <c r="M17" i="28"/>
  <c r="F17" i="28"/>
  <c r="G78" i="19" l="1"/>
  <c r="I78" i="19"/>
  <c r="J78" i="19" s="1"/>
  <c r="K78" i="19" s="1"/>
  <c r="B79" i="19"/>
  <c r="D80" i="19"/>
  <c r="H79" i="19"/>
  <c r="I79" i="19"/>
  <c r="J79" i="19" s="1"/>
  <c r="K79" i="19" s="1"/>
  <c r="F79" i="19"/>
  <c r="L17" i="28"/>
  <c r="U18" i="28"/>
  <c r="X18" i="28" s="1"/>
  <c r="V19" i="28" s="1"/>
  <c r="AB17" i="28"/>
  <c r="G79" i="19" l="1"/>
  <c r="D81" i="19"/>
  <c r="H80" i="19"/>
  <c r="I80" i="19"/>
  <c r="J80" i="19" s="1"/>
  <c r="K80" i="19" s="1"/>
  <c r="F80" i="19"/>
  <c r="B80" i="19"/>
  <c r="K17" i="28"/>
  <c r="B17" i="28"/>
  <c r="Y18" i="28" s="1"/>
  <c r="I17" i="28"/>
  <c r="P17" i="28" s="1"/>
  <c r="Q17" i="28" s="1"/>
  <c r="G80" i="19" l="1"/>
  <c r="H81" i="19"/>
  <c r="D82" i="19"/>
  <c r="F81" i="19"/>
  <c r="B81" i="19"/>
  <c r="E18" i="28"/>
  <c r="G18" i="28" s="1"/>
  <c r="C17" i="28"/>
  <c r="J17" i="28"/>
  <c r="O17" i="28"/>
  <c r="N17" i="28"/>
  <c r="S17" i="28"/>
  <c r="G81" i="19" l="1"/>
  <c r="I81" i="19"/>
  <c r="J81" i="19" s="1"/>
  <c r="K81" i="19" s="1"/>
  <c r="B82" i="19"/>
  <c r="F18" i="28"/>
  <c r="H82" i="19"/>
  <c r="I82" i="19"/>
  <c r="J82" i="19" s="1"/>
  <c r="K82" i="19" s="1"/>
  <c r="D83" i="19"/>
  <c r="B83" i="19" s="1"/>
  <c r="F82" i="19"/>
  <c r="AD18" i="28"/>
  <c r="AE18" i="28"/>
  <c r="AK18" i="28"/>
  <c r="AN18" i="28"/>
  <c r="AI18" i="28"/>
  <c r="AG18" i="28"/>
  <c r="AH18" i="28"/>
  <c r="AJ18" i="28"/>
  <c r="AF18" i="28"/>
  <c r="AM18" i="28"/>
  <c r="AO18" i="28"/>
  <c r="AL18" i="28"/>
  <c r="AC18" i="28"/>
  <c r="AB18" i="28"/>
  <c r="G82" i="19" l="1"/>
  <c r="D84" i="19"/>
  <c r="H83" i="19"/>
  <c r="I83" i="19"/>
  <c r="J83" i="19" s="1"/>
  <c r="K83" i="19" s="1"/>
  <c r="F83" i="19"/>
  <c r="AP19" i="28"/>
  <c r="AQ20" i="28" s="1"/>
  <c r="AR21" i="28" s="1"/>
  <c r="AS22" i="28" s="1"/>
  <c r="R23" i="28" s="1"/>
  <c r="H18" i="28"/>
  <c r="AA18" i="28"/>
  <c r="D19" i="28"/>
  <c r="Z18" i="28"/>
  <c r="M18" i="28"/>
  <c r="K18" i="28"/>
  <c r="B18" i="28"/>
  <c r="Y19" i="28" s="1"/>
  <c r="I18" i="28"/>
  <c r="P18" i="28" s="1"/>
  <c r="G83" i="19" l="1"/>
  <c r="D85" i="19"/>
  <c r="H84" i="19"/>
  <c r="F84" i="19"/>
  <c r="B84" i="19"/>
  <c r="T18" i="28"/>
  <c r="W19" i="28" s="1"/>
  <c r="L18" i="28"/>
  <c r="E19" i="28"/>
  <c r="G19" i="28" s="1"/>
  <c r="AB19" i="28" s="1"/>
  <c r="U19" i="28"/>
  <c r="S18" i="28"/>
  <c r="C18" i="28"/>
  <c r="N18" i="28"/>
  <c r="J18" i="28"/>
  <c r="Q18" i="28"/>
  <c r="B85" i="19" l="1"/>
  <c r="G84" i="19"/>
  <c r="I84" i="19"/>
  <c r="J84" i="19" s="1"/>
  <c r="K84" i="19" s="1"/>
  <c r="X19" i="28"/>
  <c r="V20" i="28" s="1"/>
  <c r="F19" i="28"/>
  <c r="D86" i="19"/>
  <c r="I85" i="19"/>
  <c r="J85" i="19" s="1"/>
  <c r="K85" i="19" s="1"/>
  <c r="H85" i="19"/>
  <c r="G85" i="19" s="1"/>
  <c r="F85" i="19"/>
  <c r="AL19" i="28"/>
  <c r="AF19" i="28"/>
  <c r="AN19" i="28"/>
  <c r="AK19" i="28"/>
  <c r="AH19" i="28"/>
  <c r="AI19" i="28"/>
  <c r="AD19" i="28"/>
  <c r="AG19" i="28"/>
  <c r="AJ19" i="28"/>
  <c r="AO19" i="28"/>
  <c r="AM19" i="28"/>
  <c r="AE19" i="28"/>
  <c r="AC19" i="28"/>
  <c r="O18" i="28"/>
  <c r="D87" i="19" l="1"/>
  <c r="H86" i="19"/>
  <c r="I86" i="19"/>
  <c r="J86" i="19" s="1"/>
  <c r="K86" i="19" s="1"/>
  <c r="F86" i="19"/>
  <c r="B86" i="19"/>
  <c r="I19" i="28"/>
  <c r="P19" i="28" s="1"/>
  <c r="Q19" i="28" s="1"/>
  <c r="AP20" i="28"/>
  <c r="AQ21" i="28" s="1"/>
  <c r="AR22" i="28" s="1"/>
  <c r="AS23" i="28" s="1"/>
  <c r="R24" i="28" s="1"/>
  <c r="B19" i="28"/>
  <c r="D20" i="28"/>
  <c r="Z19" i="28"/>
  <c r="M19" i="28"/>
  <c r="AA19" i="28"/>
  <c r="H19" i="28"/>
  <c r="K19" i="28"/>
  <c r="Y20" i="28" l="1"/>
  <c r="J16" i="6"/>
  <c r="G86" i="19"/>
  <c r="B87" i="19"/>
  <c r="D88" i="19"/>
  <c r="H87" i="19"/>
  <c r="G87" i="19" s="1"/>
  <c r="I87" i="19"/>
  <c r="J87" i="19" s="1"/>
  <c r="K87" i="19" s="1"/>
  <c r="F87" i="19"/>
  <c r="U20" i="28"/>
  <c r="S19" i="28"/>
  <c r="T19" i="28"/>
  <c r="W20" i="28" s="1"/>
  <c r="L19" i="28"/>
  <c r="J19" i="28"/>
  <c r="E20" i="28"/>
  <c r="G20" i="28" s="1"/>
  <c r="N19" i="28"/>
  <c r="C19" i="28"/>
  <c r="J17" i="6" s="1"/>
  <c r="O19" i="28"/>
  <c r="X20" i="28" l="1"/>
  <c r="D89" i="19"/>
  <c r="H88" i="19"/>
  <c r="I88" i="19"/>
  <c r="J88" i="19" s="1"/>
  <c r="K88" i="19" s="1"/>
  <c r="F88" i="19"/>
  <c r="B88" i="19"/>
  <c r="AJ20" i="28"/>
  <c r="AL20" i="28"/>
  <c r="AI20" i="28"/>
  <c r="AK20" i="28"/>
  <c r="AO20" i="28"/>
  <c r="AN20" i="28"/>
  <c r="AH20" i="28"/>
  <c r="AF20" i="28"/>
  <c r="AE20" i="28"/>
  <c r="AG20" i="28"/>
  <c r="AM20" i="28"/>
  <c r="AC20" i="28"/>
  <c r="AD20" i="28"/>
  <c r="AB20" i="28"/>
  <c r="V21" i="28"/>
  <c r="F20" i="28"/>
  <c r="G88" i="19" l="1"/>
  <c r="B89" i="19"/>
  <c r="D90" i="19"/>
  <c r="H89" i="19"/>
  <c r="I89" i="19"/>
  <c r="J89" i="19" s="1"/>
  <c r="K89" i="19" s="1"/>
  <c r="F89" i="19"/>
  <c r="AP21" i="28"/>
  <c r="AQ22" i="28" s="1"/>
  <c r="AR23" i="28" s="1"/>
  <c r="AS24" i="28" s="1"/>
  <c r="R25" i="28" s="1"/>
  <c r="AA20" i="28"/>
  <c r="H20" i="28"/>
  <c r="B20" i="28"/>
  <c r="Y21" i="28" s="1"/>
  <c r="K20" i="28"/>
  <c r="I20" i="28"/>
  <c r="P20" i="28" s="1"/>
  <c r="Q20" i="28" s="1"/>
  <c r="D21" i="28"/>
  <c r="Z20" i="28"/>
  <c r="M20" i="28"/>
  <c r="G89" i="19" l="1"/>
  <c r="H90" i="19"/>
  <c r="D91" i="19"/>
  <c r="I90" i="19"/>
  <c r="J90" i="19" s="1"/>
  <c r="K90" i="19" s="1"/>
  <c r="F90" i="19"/>
  <c r="B90" i="19"/>
  <c r="S20" i="28"/>
  <c r="U21" i="28"/>
  <c r="T20" i="28"/>
  <c r="W21" i="28" s="1"/>
  <c r="L20" i="28"/>
  <c r="J20" i="28"/>
  <c r="C20" i="28"/>
  <c r="O20" i="28"/>
  <c r="N20" i="28"/>
  <c r="E21" i="28"/>
  <c r="G90" i="19" l="1"/>
  <c r="B91" i="19"/>
  <c r="H91" i="19"/>
  <c r="I91" i="19"/>
  <c r="J91" i="19" s="1"/>
  <c r="K91" i="19" s="1"/>
  <c r="D92" i="19"/>
  <c r="B92" i="19" s="1"/>
  <c r="F91" i="19"/>
  <c r="X21" i="28"/>
  <c r="V22" i="28" s="1"/>
  <c r="G21" i="28"/>
  <c r="F21" i="28"/>
  <c r="AC21" i="28"/>
  <c r="AG21" i="28"/>
  <c r="AH21" i="28"/>
  <c r="AL21" i="28"/>
  <c r="AF21" i="28"/>
  <c r="AI21" i="28"/>
  <c r="AN21" i="28"/>
  <c r="AJ21" i="28"/>
  <c r="AK21" i="28"/>
  <c r="AO21" i="28"/>
  <c r="AE21" i="28"/>
  <c r="AM21" i="28"/>
  <c r="AD21" i="28"/>
  <c r="G91" i="19" l="1"/>
  <c r="H92" i="19"/>
  <c r="D93" i="19"/>
  <c r="I92" i="19"/>
  <c r="J92" i="19" s="1"/>
  <c r="K92" i="19" s="1"/>
  <c r="F92" i="19"/>
  <c r="D22" i="28"/>
  <c r="AA21" i="28"/>
  <c r="H21" i="28"/>
  <c r="T21" i="28" s="1"/>
  <c r="W22" i="28" s="1"/>
  <c r="AP22" i="28"/>
  <c r="AQ23" i="28" s="1"/>
  <c r="AR24" i="28" s="1"/>
  <c r="AS25" i="28" s="1"/>
  <c r="R26" i="28" s="1"/>
  <c r="Z21" i="28"/>
  <c r="M21" i="28"/>
  <c r="AB21" i="28"/>
  <c r="G92" i="19" l="1"/>
  <c r="H93" i="19"/>
  <c r="D94" i="19"/>
  <c r="I93" i="19"/>
  <c r="J93" i="19" s="1"/>
  <c r="K93" i="19" s="1"/>
  <c r="F93" i="19"/>
  <c r="B93" i="19"/>
  <c r="U22" i="28"/>
  <c r="X22" i="28" s="1"/>
  <c r="K21" i="28"/>
  <c r="I21" i="28"/>
  <c r="B21" i="28"/>
  <c r="Y22" i="28" s="1"/>
  <c r="L21" i="28"/>
  <c r="G93" i="19" l="1"/>
  <c r="D95" i="19"/>
  <c r="H94" i="19"/>
  <c r="F94" i="19"/>
  <c r="B94" i="19"/>
  <c r="B95" i="19" s="1"/>
  <c r="E22" i="28"/>
  <c r="C21" i="28"/>
  <c r="S21" i="28"/>
  <c r="P21" i="28"/>
  <c r="Q21" i="28" s="1"/>
  <c r="J21" i="28"/>
  <c r="N21" i="28"/>
  <c r="V23" i="28"/>
  <c r="G94" i="19" l="1"/>
  <c r="I94" i="19"/>
  <c r="J94" i="19" s="1"/>
  <c r="K94" i="19" s="1"/>
  <c r="H95" i="19"/>
  <c r="I95" i="19"/>
  <c r="J95" i="19" s="1"/>
  <c r="K95" i="19" s="1"/>
  <c r="D96" i="19"/>
  <c r="B96" i="19" s="1"/>
  <c r="F95" i="19"/>
  <c r="AO22" i="28"/>
  <c r="AN22" i="28"/>
  <c r="AK22" i="28"/>
  <c r="AI22" i="28"/>
  <c r="AH22" i="28"/>
  <c r="AG22" i="28"/>
  <c r="AL22" i="28"/>
  <c r="AJ22" i="28"/>
  <c r="AE22" i="28"/>
  <c r="AD22" i="28"/>
  <c r="AM22" i="28"/>
  <c r="AF22" i="28"/>
  <c r="AC22" i="28"/>
  <c r="O21" i="28"/>
  <c r="G22" i="28"/>
  <c r="F22" i="28"/>
  <c r="G95" i="19" l="1"/>
  <c r="D97" i="19"/>
  <c r="H96" i="19"/>
  <c r="G96" i="19" s="1"/>
  <c r="I96" i="19"/>
  <c r="J96" i="19" s="1"/>
  <c r="K96" i="19" s="1"/>
  <c r="F96" i="19"/>
  <c r="AP23" i="28"/>
  <c r="AQ24" i="28" s="1"/>
  <c r="AR25" i="28" s="1"/>
  <c r="AS26" i="28" s="1"/>
  <c r="R27" i="28" s="1"/>
  <c r="AB22" i="28"/>
  <c r="AA22" i="28"/>
  <c r="H22" i="28"/>
  <c r="T22" i="28" s="1"/>
  <c r="W23" i="28" s="1"/>
  <c r="Z22" i="28"/>
  <c r="M22" i="28"/>
  <c r="D23" i="28"/>
  <c r="D98" i="19" l="1"/>
  <c r="H97" i="19"/>
  <c r="I97" i="19"/>
  <c r="J97" i="19" s="1"/>
  <c r="K97" i="19" s="1"/>
  <c r="F97" i="19"/>
  <c r="B97" i="19"/>
  <c r="L22" i="28"/>
  <c r="K22" i="28"/>
  <c r="B22" i="28"/>
  <c r="Y23" i="28" s="1"/>
  <c r="I22" i="28"/>
  <c r="U23" i="28"/>
  <c r="X23" i="28" s="1"/>
  <c r="G97" i="19" l="1"/>
  <c r="H98" i="19"/>
  <c r="D99" i="19"/>
  <c r="I98" i="19"/>
  <c r="J98" i="19" s="1"/>
  <c r="K98" i="19" s="1"/>
  <c r="F98" i="19"/>
  <c r="B98" i="19"/>
  <c r="P22" i="28"/>
  <c r="Q22" i="28" s="1"/>
  <c r="J22" i="28"/>
  <c r="N22" i="28"/>
  <c r="V24" i="28"/>
  <c r="C22" i="28"/>
  <c r="E23" i="28"/>
  <c r="S22" i="28"/>
  <c r="G98" i="19" l="1"/>
  <c r="B99" i="19"/>
  <c r="D100" i="19"/>
  <c r="H99" i="19"/>
  <c r="I99" i="19"/>
  <c r="J99" i="19" s="1"/>
  <c r="K99" i="19" s="1"/>
  <c r="F99" i="19"/>
  <c r="O22" i="28"/>
  <c r="AL23" i="28"/>
  <c r="AF23" i="28"/>
  <c r="AG23" i="28"/>
  <c r="AH23" i="28"/>
  <c r="AJ23" i="28"/>
  <c r="AK23" i="28"/>
  <c r="AE23" i="28"/>
  <c r="AO23" i="28"/>
  <c r="AD23" i="28"/>
  <c r="AM23" i="28"/>
  <c r="AN23" i="28"/>
  <c r="AI23" i="28"/>
  <c r="AC23" i="28"/>
  <c r="F23" i="28"/>
  <c r="G23" i="28"/>
  <c r="G99" i="19" l="1"/>
  <c r="B100" i="19"/>
  <c r="H100" i="19"/>
  <c r="D101" i="19"/>
  <c r="I100" i="19"/>
  <c r="J100" i="19" s="1"/>
  <c r="K100" i="19" s="1"/>
  <c r="F100" i="19"/>
  <c r="D24" i="28"/>
  <c r="AA23" i="28"/>
  <c r="H23" i="28"/>
  <c r="T23" i="28" s="1"/>
  <c r="W24" i="28" s="1"/>
  <c r="AB23" i="28"/>
  <c r="Z23" i="28"/>
  <c r="M23" i="28"/>
  <c r="AP24" i="28"/>
  <c r="AQ25" i="28" s="1"/>
  <c r="AR26" i="28" s="1"/>
  <c r="AS27" i="28" s="1"/>
  <c r="R28" i="28" s="1"/>
  <c r="G100" i="19" l="1"/>
  <c r="D102" i="19"/>
  <c r="H101" i="19"/>
  <c r="I101" i="19"/>
  <c r="J101" i="19" s="1"/>
  <c r="K101" i="19" s="1"/>
  <c r="F101" i="19"/>
  <c r="B101" i="19"/>
  <c r="U24" i="28"/>
  <c r="X24" i="28" s="1"/>
  <c r="L23" i="28"/>
  <c r="I23" i="28"/>
  <c r="K23" i="28"/>
  <c r="B23" i="28"/>
  <c r="Y24" i="28" s="1"/>
  <c r="G101" i="19" l="1"/>
  <c r="D103" i="19"/>
  <c r="H102" i="19"/>
  <c r="I102" i="19"/>
  <c r="J102" i="19" s="1"/>
  <c r="K102" i="19" s="1"/>
  <c r="F102" i="19"/>
  <c r="B102" i="19"/>
  <c r="N23" i="28"/>
  <c r="C23" i="28"/>
  <c r="E24" i="28"/>
  <c r="G24" i="28" s="1"/>
  <c r="S23" i="28"/>
  <c r="V25" i="28"/>
  <c r="P23" i="28"/>
  <c r="Q23" i="28" s="1"/>
  <c r="J23" i="28"/>
  <c r="G102" i="19" l="1"/>
  <c r="B103" i="19"/>
  <c r="H103" i="19"/>
  <c r="D104" i="19"/>
  <c r="I103" i="19"/>
  <c r="J103" i="19" s="1"/>
  <c r="K103" i="19" s="1"/>
  <c r="F103" i="19"/>
  <c r="F24" i="28"/>
  <c r="O23" i="28"/>
  <c r="AB24" i="28"/>
  <c r="AM24" i="28"/>
  <c r="AJ24" i="28"/>
  <c r="AK24" i="28"/>
  <c r="AO24" i="28"/>
  <c r="AF24" i="28"/>
  <c r="AL24" i="28"/>
  <c r="AH24" i="28"/>
  <c r="AG24" i="28"/>
  <c r="AE24" i="28"/>
  <c r="AI24" i="28"/>
  <c r="AD24" i="28"/>
  <c r="AN24" i="28"/>
  <c r="AC24" i="28"/>
  <c r="G103" i="19" l="1"/>
  <c r="B104" i="19"/>
  <c r="H104" i="19"/>
  <c r="I104" i="19"/>
  <c r="J104" i="19" s="1"/>
  <c r="K104" i="19" s="1"/>
  <c r="D105" i="19"/>
  <c r="F104" i="19"/>
  <c r="D25" i="28"/>
  <c r="M24" i="28"/>
  <c r="Z24" i="28"/>
  <c r="AA24" i="28"/>
  <c r="H24" i="28"/>
  <c r="I24" i="28"/>
  <c r="K24" i="28"/>
  <c r="B24" i="28"/>
  <c r="Y25" i="28" s="1"/>
  <c r="AP25" i="28"/>
  <c r="AQ26" i="28" s="1"/>
  <c r="AR27" i="28" s="1"/>
  <c r="AS28" i="28" s="1"/>
  <c r="R29" i="28" s="1"/>
  <c r="G104" i="19" l="1"/>
  <c r="H105" i="19"/>
  <c r="I105" i="19"/>
  <c r="J105" i="19" s="1"/>
  <c r="K105" i="19" s="1"/>
  <c r="D106" i="19"/>
  <c r="F105" i="19"/>
  <c r="B105" i="19"/>
  <c r="S24" i="28"/>
  <c r="E25" i="28"/>
  <c r="G25" i="28" s="1"/>
  <c r="C24" i="28"/>
  <c r="T24" i="28"/>
  <c r="W25" i="28" s="1"/>
  <c r="L24" i="28"/>
  <c r="P24" i="28"/>
  <c r="Q24" i="28" s="1"/>
  <c r="J24" i="28"/>
  <c r="N24" i="28"/>
  <c r="U25" i="28"/>
  <c r="G105" i="19" l="1"/>
  <c r="B106" i="19"/>
  <c r="D107" i="19"/>
  <c r="H106" i="19"/>
  <c r="I106" i="19"/>
  <c r="J106" i="19" s="1"/>
  <c r="K106" i="19" s="1"/>
  <c r="F106" i="19"/>
  <c r="F25" i="28"/>
  <c r="O24" i="28"/>
  <c r="X25" i="28"/>
  <c r="AB25" i="28"/>
  <c r="AN25" i="28"/>
  <c r="AL25" i="28"/>
  <c r="AE25" i="28"/>
  <c r="AO25" i="28"/>
  <c r="AM25" i="28"/>
  <c r="AI25" i="28"/>
  <c r="AD25" i="28"/>
  <c r="AJ25" i="28"/>
  <c r="AG25" i="28"/>
  <c r="AK25" i="28"/>
  <c r="AH25" i="28"/>
  <c r="AC25" i="28"/>
  <c r="AF25" i="28"/>
  <c r="G106" i="19" l="1"/>
  <c r="H107" i="19"/>
  <c r="I107" i="19"/>
  <c r="J107" i="19" s="1"/>
  <c r="K107" i="19" s="1"/>
  <c r="D108" i="19"/>
  <c r="F107" i="19"/>
  <c r="B107" i="19"/>
  <c r="H25" i="28"/>
  <c r="AA25" i="28"/>
  <c r="M25" i="28"/>
  <c r="Z25" i="28"/>
  <c r="D26" i="28"/>
  <c r="AP26" i="28"/>
  <c r="AQ27" i="28" s="1"/>
  <c r="AR28" i="28" s="1"/>
  <c r="AS29" i="28" s="1"/>
  <c r="R30" i="28" s="1"/>
  <c r="I25" i="28"/>
  <c r="B25" i="28"/>
  <c r="Y26" i="28" s="1"/>
  <c r="K25" i="28"/>
  <c r="V26" i="28"/>
  <c r="G107" i="19" l="1"/>
  <c r="B108" i="19"/>
  <c r="D109" i="19"/>
  <c r="H108" i="19"/>
  <c r="I108" i="19"/>
  <c r="J108" i="19" s="1"/>
  <c r="K108" i="19" s="1"/>
  <c r="F108" i="19"/>
  <c r="T25" i="28"/>
  <c r="W26" i="28" s="1"/>
  <c r="L25" i="28"/>
  <c r="P25" i="28"/>
  <c r="Q25" i="28" s="1"/>
  <c r="O25" i="28" s="1"/>
  <c r="N25" i="28"/>
  <c r="J25" i="28"/>
  <c r="E26" i="28"/>
  <c r="G26" i="28" s="1"/>
  <c r="C25" i="28"/>
  <c r="S25" i="28"/>
  <c r="U26" i="28"/>
  <c r="G108" i="19" l="1"/>
  <c r="X26" i="28"/>
  <c r="B109" i="19"/>
  <c r="H109" i="19"/>
  <c r="I109" i="19"/>
  <c r="J109" i="19" s="1"/>
  <c r="K109" i="19" s="1"/>
  <c r="D110" i="19"/>
  <c r="F109" i="19"/>
  <c r="AO26" i="28"/>
  <c r="AG26" i="28"/>
  <c r="AJ26" i="28"/>
  <c r="AF26" i="28"/>
  <c r="AC26" i="28"/>
  <c r="AI26" i="28"/>
  <c r="AL26" i="28"/>
  <c r="AH26" i="28"/>
  <c r="AE26" i="28"/>
  <c r="AN26" i="28"/>
  <c r="AD26" i="28"/>
  <c r="AK26" i="28"/>
  <c r="AM26" i="28"/>
  <c r="V27" i="28"/>
  <c r="AB26" i="28"/>
  <c r="F26" i="28"/>
  <c r="AP27" i="28" l="1"/>
  <c r="AQ28" i="28" s="1"/>
  <c r="AR29" i="28" s="1"/>
  <c r="AS30" i="28" s="1"/>
  <c r="R31" i="28" s="1"/>
  <c r="G109" i="19"/>
  <c r="B110" i="19"/>
  <c r="D111" i="19"/>
  <c r="H110" i="19"/>
  <c r="I110" i="19"/>
  <c r="J110" i="19" s="1"/>
  <c r="K110" i="19" s="1"/>
  <c r="F110" i="19"/>
  <c r="Z26" i="28"/>
  <c r="M26" i="28"/>
  <c r="H26" i="28"/>
  <c r="AA26" i="28"/>
  <c r="K26" i="28"/>
  <c r="I26" i="28"/>
  <c r="B26" i="28"/>
  <c r="Y27" i="28" s="1"/>
  <c r="D27" i="28"/>
  <c r="G110" i="19" l="1"/>
  <c r="U27" i="28"/>
  <c r="H111" i="19"/>
  <c r="D112" i="19"/>
  <c r="F111" i="19"/>
  <c r="B111" i="19"/>
  <c r="T26" i="28"/>
  <c r="W27" i="28" s="1"/>
  <c r="X27" i="28" s="1"/>
  <c r="L26" i="28"/>
  <c r="E27" i="28"/>
  <c r="G27" i="28" s="1"/>
  <c r="S26" i="28"/>
  <c r="C26" i="28"/>
  <c r="P26" i="28"/>
  <c r="Q26" i="28" s="1"/>
  <c r="O26" i="28" s="1"/>
  <c r="N26" i="28"/>
  <c r="J26" i="28"/>
  <c r="G111" i="19" l="1"/>
  <c r="I111" i="19"/>
  <c r="J111" i="19" s="1"/>
  <c r="K111" i="19" s="1"/>
  <c r="F27" i="28"/>
  <c r="B112" i="19"/>
  <c r="D113" i="19"/>
  <c r="H112" i="19"/>
  <c r="I112" i="19"/>
  <c r="J112" i="19" s="1"/>
  <c r="K112" i="19" s="1"/>
  <c r="F112" i="19"/>
  <c r="V28" i="28"/>
  <c r="AB27" i="28"/>
  <c r="AN27" i="28"/>
  <c r="AC27" i="28"/>
  <c r="AG27" i="28"/>
  <c r="AD27" i="28"/>
  <c r="AH27" i="28"/>
  <c r="AJ27" i="28"/>
  <c r="AF27" i="28"/>
  <c r="AM27" i="28"/>
  <c r="AI27" i="28"/>
  <c r="AO27" i="28"/>
  <c r="AK27" i="28"/>
  <c r="AL27" i="28"/>
  <c r="AE27" i="28"/>
  <c r="G112" i="19" l="1"/>
  <c r="D114" i="19"/>
  <c r="H113" i="19"/>
  <c r="I113" i="19"/>
  <c r="J113" i="19" s="1"/>
  <c r="K113" i="19" s="1"/>
  <c r="F113" i="19"/>
  <c r="B113" i="19"/>
  <c r="AP28" i="28"/>
  <c r="AQ29" i="28" s="1"/>
  <c r="AR30" i="28" s="1"/>
  <c r="AS31" i="28" s="1"/>
  <c r="R32" i="28" s="1"/>
  <c r="AA27" i="28"/>
  <c r="H27" i="28"/>
  <c r="Z27" i="28"/>
  <c r="M27" i="28"/>
  <c r="B27" i="28"/>
  <c r="Y28" i="28" s="1"/>
  <c r="K27" i="28"/>
  <c r="I27" i="28"/>
  <c r="D28" i="28"/>
  <c r="G113" i="19" l="1"/>
  <c r="D115" i="19"/>
  <c r="H114" i="19"/>
  <c r="I114" i="19"/>
  <c r="J114" i="19" s="1"/>
  <c r="K114" i="19" s="1"/>
  <c r="F114" i="19"/>
  <c r="B114" i="19"/>
  <c r="U28" i="28"/>
  <c r="T27" i="28"/>
  <c r="W28" i="28" s="1"/>
  <c r="L27" i="28"/>
  <c r="P27" i="28"/>
  <c r="Q27" i="28" s="1"/>
  <c r="O27" i="28" s="1"/>
  <c r="J27" i="28"/>
  <c r="N27" i="28"/>
  <c r="E28" i="28"/>
  <c r="G28" i="28" s="1"/>
  <c r="C27" i="28"/>
  <c r="S27" i="28"/>
  <c r="G114" i="19" l="1"/>
  <c r="X28" i="28"/>
  <c r="B115" i="19"/>
  <c r="H115" i="19"/>
  <c r="I115" i="19" s="1"/>
  <c r="J115" i="19" s="1"/>
  <c r="K115" i="19" s="1"/>
  <c r="D116" i="19"/>
  <c r="F115" i="19"/>
  <c r="AB28" i="28"/>
  <c r="AI28" i="28"/>
  <c r="AN28" i="28"/>
  <c r="AK28" i="28"/>
  <c r="AL28" i="28"/>
  <c r="AE28" i="28"/>
  <c r="AH28" i="28"/>
  <c r="AM28" i="28"/>
  <c r="AG28" i="28"/>
  <c r="AD28" i="28"/>
  <c r="AF28" i="28"/>
  <c r="AO28" i="28"/>
  <c r="AJ28" i="28"/>
  <c r="AC28" i="28"/>
  <c r="F28" i="28"/>
  <c r="V29" i="28"/>
  <c r="G115" i="19" l="1"/>
  <c r="B116" i="19"/>
  <c r="D117" i="19"/>
  <c r="H116" i="19"/>
  <c r="F116" i="19"/>
  <c r="D29" i="28"/>
  <c r="Z28" i="28"/>
  <c r="M28" i="28"/>
  <c r="AP29" i="28"/>
  <c r="AQ30" i="28" s="1"/>
  <c r="AR31" i="28" s="1"/>
  <c r="AS32" i="28" s="1"/>
  <c r="R33" i="28" s="1"/>
  <c r="H28" i="28"/>
  <c r="AA28" i="28"/>
  <c r="K28" i="28"/>
  <c r="I28" i="28"/>
  <c r="B28" i="28"/>
  <c r="Y29" i="28" s="1"/>
  <c r="D118" i="19" l="1"/>
  <c r="H117" i="19"/>
  <c r="G117" i="19" s="1"/>
  <c r="F117" i="19"/>
  <c r="B117" i="19"/>
  <c r="B118" i="19" s="1"/>
  <c r="I116" i="19"/>
  <c r="J116" i="19" s="1"/>
  <c r="K116" i="19" s="1"/>
  <c r="G116" i="19"/>
  <c r="E29" i="28"/>
  <c r="G29" i="28" s="1"/>
  <c r="F29" i="28"/>
  <c r="C28" i="28"/>
  <c r="S28" i="28"/>
  <c r="T28" i="28"/>
  <c r="W29" i="28" s="1"/>
  <c r="L28" i="28"/>
  <c r="P28" i="28"/>
  <c r="Q28" i="28" s="1"/>
  <c r="N28" i="28"/>
  <c r="J28" i="28"/>
  <c r="U29" i="28"/>
  <c r="I117" i="19" l="1"/>
  <c r="J117" i="19" s="1"/>
  <c r="K117" i="19" s="1"/>
  <c r="H118" i="19"/>
  <c r="D119" i="19"/>
  <c r="I118" i="19"/>
  <c r="J118" i="19" s="1"/>
  <c r="K118" i="19" s="1"/>
  <c r="F118" i="19"/>
  <c r="O28" i="28"/>
  <c r="AG29" i="28"/>
  <c r="AJ29" i="28"/>
  <c r="AC29" i="28"/>
  <c r="AI29" i="28"/>
  <c r="AD29" i="28"/>
  <c r="AO29" i="28"/>
  <c r="AK29" i="28"/>
  <c r="AL29" i="28"/>
  <c r="AE29" i="28"/>
  <c r="AM29" i="28"/>
  <c r="AF29" i="28"/>
  <c r="AH29" i="28"/>
  <c r="AN29" i="28"/>
  <c r="X29" i="28"/>
  <c r="AB29" i="28"/>
  <c r="G118" i="19" l="1"/>
  <c r="D120" i="19"/>
  <c r="H119" i="19"/>
  <c r="F119" i="19"/>
  <c r="B119" i="19"/>
  <c r="AP30" i="28"/>
  <c r="AQ31" i="28" s="1"/>
  <c r="AR32" i="28" s="1"/>
  <c r="AS33" i="28" s="1"/>
  <c r="R34" i="28" s="1"/>
  <c r="I29" i="28"/>
  <c r="B29" i="28"/>
  <c r="Y30" i="28" s="1"/>
  <c r="K29" i="28"/>
  <c r="V30" i="28"/>
  <c r="M29" i="28"/>
  <c r="Z29" i="28"/>
  <c r="D30" i="28"/>
  <c r="H29" i="28"/>
  <c r="AA29" i="28"/>
  <c r="G119" i="19" l="1"/>
  <c r="I119" i="19"/>
  <c r="J119" i="19" s="1"/>
  <c r="K119" i="19" s="1"/>
  <c r="B120" i="19"/>
  <c r="H120" i="19"/>
  <c r="I120" i="19"/>
  <c r="J120" i="19" s="1"/>
  <c r="K120" i="19" s="1"/>
  <c r="D121" i="19"/>
  <c r="B121" i="19" s="1"/>
  <c r="F120" i="19"/>
  <c r="U30" i="28"/>
  <c r="T29" i="28"/>
  <c r="W30" i="28" s="1"/>
  <c r="L29" i="28"/>
  <c r="E30" i="28"/>
  <c r="G30" i="28" s="1"/>
  <c r="S29" i="28"/>
  <c r="C29" i="28"/>
  <c r="P29" i="28"/>
  <c r="Q29" i="28" s="1"/>
  <c r="J29" i="28"/>
  <c r="N29" i="28"/>
  <c r="G120" i="19" l="1"/>
  <c r="D122" i="19"/>
  <c r="B122" i="19" s="1"/>
  <c r="H121" i="19"/>
  <c r="I121" i="19"/>
  <c r="J121" i="19" s="1"/>
  <c r="K121" i="19" s="1"/>
  <c r="F121" i="19"/>
  <c r="X30" i="28"/>
  <c r="V31" i="28" s="1"/>
  <c r="O29" i="28"/>
  <c r="AE30" i="28"/>
  <c r="AF30" i="28"/>
  <c r="AG30" i="28"/>
  <c r="AN30" i="28"/>
  <c r="AM30" i="28"/>
  <c r="AC30" i="28"/>
  <c r="AL30" i="28"/>
  <c r="AJ30" i="28"/>
  <c r="AD30" i="28"/>
  <c r="AI30" i="28"/>
  <c r="AH30" i="28"/>
  <c r="AO30" i="28"/>
  <c r="AK30" i="28"/>
  <c r="AB30" i="28"/>
  <c r="F30" i="28"/>
  <c r="G121" i="19" l="1"/>
  <c r="D123" i="19"/>
  <c r="B123" i="19" s="1"/>
  <c r="H122" i="19"/>
  <c r="I122" i="19"/>
  <c r="J122" i="19" s="1"/>
  <c r="K122" i="19" s="1"/>
  <c r="F122" i="19"/>
  <c r="Z30" i="28"/>
  <c r="M30" i="28"/>
  <c r="D31" i="28"/>
  <c r="AP31" i="28"/>
  <c r="AQ32" i="28" s="1"/>
  <c r="AR33" i="28" s="1"/>
  <c r="AS34" i="28" s="1"/>
  <c r="R35" i="28" s="1"/>
  <c r="H30" i="28"/>
  <c r="AA30" i="28"/>
  <c r="K30" i="28"/>
  <c r="I30" i="28"/>
  <c r="B30" i="28"/>
  <c r="Y31" i="28" s="1"/>
  <c r="G122" i="19" l="1"/>
  <c r="H123" i="19"/>
  <c r="D124" i="19"/>
  <c r="B124" i="19" s="1"/>
  <c r="I123" i="19"/>
  <c r="J123" i="19" s="1"/>
  <c r="K123" i="19" s="1"/>
  <c r="F123" i="19"/>
  <c r="U31" i="28"/>
  <c r="T30" i="28"/>
  <c r="W31" i="28" s="1"/>
  <c r="L30" i="28"/>
  <c r="E31" i="28"/>
  <c r="G31" i="28" s="1"/>
  <c r="C30" i="28"/>
  <c r="S30" i="28"/>
  <c r="P30" i="28"/>
  <c r="Q30" i="28" s="1"/>
  <c r="N30" i="28"/>
  <c r="J30" i="28"/>
  <c r="X31" i="28" l="1"/>
  <c r="G123" i="19"/>
  <c r="D125" i="19"/>
  <c r="H124" i="19"/>
  <c r="I124" i="19"/>
  <c r="J124" i="19" s="1"/>
  <c r="K124" i="19" s="1"/>
  <c r="F124" i="19"/>
  <c r="O30" i="28"/>
  <c r="V32" i="28"/>
  <c r="AB31" i="28"/>
  <c r="AD31" i="28"/>
  <c r="AG31" i="28"/>
  <c r="AF31" i="28"/>
  <c r="AE31" i="28"/>
  <c r="AC31" i="28"/>
  <c r="AJ31" i="28"/>
  <c r="AH31" i="28"/>
  <c r="AN31" i="28"/>
  <c r="AM31" i="28"/>
  <c r="AO31" i="28"/>
  <c r="AK31" i="28"/>
  <c r="AL31" i="28"/>
  <c r="AI31" i="28"/>
  <c r="F31" i="28"/>
  <c r="G124" i="19" l="1"/>
  <c r="D126" i="19"/>
  <c r="H125" i="19"/>
  <c r="I125" i="19"/>
  <c r="J125" i="19" s="1"/>
  <c r="K125" i="19" s="1"/>
  <c r="F125" i="19"/>
  <c r="B125" i="19"/>
  <c r="B126" i="19" s="1"/>
  <c r="D32" i="28"/>
  <c r="H31" i="28"/>
  <c r="AA31" i="28"/>
  <c r="Z31" i="28"/>
  <c r="M31" i="28"/>
  <c r="K31" i="28"/>
  <c r="I31" i="28"/>
  <c r="B31" i="28"/>
  <c r="Y32" i="28" s="1"/>
  <c r="AP32" i="28"/>
  <c r="AQ33" i="28" s="1"/>
  <c r="AR34" i="28" s="1"/>
  <c r="AS35" i="28" s="1"/>
  <c r="R36" i="28" s="1"/>
  <c r="G125" i="19" l="1"/>
  <c r="D127" i="19"/>
  <c r="H126" i="19"/>
  <c r="F126" i="19"/>
  <c r="P31" i="28"/>
  <c r="Q31" i="28" s="1"/>
  <c r="J31" i="28"/>
  <c r="N31" i="28"/>
  <c r="U32" i="28"/>
  <c r="T31" i="28"/>
  <c r="W32" i="28" s="1"/>
  <c r="L31" i="28"/>
  <c r="E32" i="28"/>
  <c r="G32" i="28" s="1"/>
  <c r="C31" i="28"/>
  <c r="S31" i="28"/>
  <c r="G126" i="19" l="1"/>
  <c r="I126" i="19"/>
  <c r="J126" i="19" s="1"/>
  <c r="K126" i="19" s="1"/>
  <c r="B127" i="19"/>
  <c r="H127" i="19"/>
  <c r="I127" i="19"/>
  <c r="J127" i="19" s="1"/>
  <c r="K127" i="19" s="1"/>
  <c r="D128" i="19"/>
  <c r="F127" i="19"/>
  <c r="O31" i="28"/>
  <c r="F32" i="28"/>
  <c r="X32" i="28"/>
  <c r="V33" i="28" s="1"/>
  <c r="AG32" i="28"/>
  <c r="AF32" i="28"/>
  <c r="AN32" i="28"/>
  <c r="AJ32" i="28"/>
  <c r="AK32" i="28"/>
  <c r="AC32" i="28"/>
  <c r="AO32" i="28"/>
  <c r="AE32" i="28"/>
  <c r="AH32" i="28"/>
  <c r="AD32" i="28"/>
  <c r="AI32" i="28"/>
  <c r="AM32" i="28"/>
  <c r="AL32" i="28"/>
  <c r="AB32" i="28"/>
  <c r="G127" i="19" l="1"/>
  <c r="B128" i="19"/>
  <c r="D129" i="19"/>
  <c r="H128" i="19"/>
  <c r="F128" i="19"/>
  <c r="AP33" i="28"/>
  <c r="AQ34" i="28" s="1"/>
  <c r="AR35" i="28" s="1"/>
  <c r="AS36" i="28" s="1"/>
  <c r="R37" i="28" s="1"/>
  <c r="D33" i="28"/>
  <c r="Z32" i="28"/>
  <c r="M32" i="28"/>
  <c r="K32" i="28"/>
  <c r="I32" i="28"/>
  <c r="B32" i="28"/>
  <c r="Y33" i="28" s="1"/>
  <c r="AA32" i="28"/>
  <c r="H32" i="28"/>
  <c r="G128" i="19" l="1"/>
  <c r="I128" i="19"/>
  <c r="J128" i="19" s="1"/>
  <c r="K128" i="19" s="1"/>
  <c r="H129" i="19"/>
  <c r="I129" i="19"/>
  <c r="J129" i="19" s="1"/>
  <c r="K129" i="19" s="1"/>
  <c r="D130" i="19"/>
  <c r="F129" i="19"/>
  <c r="B129" i="19"/>
  <c r="P32" i="28"/>
  <c r="Q32" i="28" s="1"/>
  <c r="J32" i="28"/>
  <c r="N32" i="28"/>
  <c r="U33" i="28"/>
  <c r="T32" i="28"/>
  <c r="W33" i="28" s="1"/>
  <c r="L32" i="28"/>
  <c r="E33" i="28"/>
  <c r="G33" i="28" s="1"/>
  <c r="C32" i="28"/>
  <c r="S32" i="28"/>
  <c r="G129" i="19" l="1"/>
  <c r="B130" i="19"/>
  <c r="O32" i="28"/>
  <c r="H130" i="19"/>
  <c r="D131" i="19"/>
  <c r="I130" i="19"/>
  <c r="J130" i="19" s="1"/>
  <c r="K130" i="19" s="1"/>
  <c r="F130" i="19"/>
  <c r="F33" i="28"/>
  <c r="AD33" i="28"/>
  <c r="AF33" i="28"/>
  <c r="AC33" i="28"/>
  <c r="AJ33" i="28"/>
  <c r="AE33" i="28"/>
  <c r="AH33" i="28"/>
  <c r="AM33" i="28"/>
  <c r="AN33" i="28"/>
  <c r="AI33" i="28"/>
  <c r="AG33" i="28"/>
  <c r="AO33" i="28"/>
  <c r="AK33" i="28"/>
  <c r="AL33" i="28"/>
  <c r="X33" i="28"/>
  <c r="AB33" i="28"/>
  <c r="G130" i="19" l="1"/>
  <c r="H131" i="19"/>
  <c r="I131" i="19"/>
  <c r="J131" i="19" s="1"/>
  <c r="K131" i="19" s="1"/>
  <c r="D132" i="19"/>
  <c r="F131" i="19"/>
  <c r="B131" i="19"/>
  <c r="AP34" i="28"/>
  <c r="AQ35" i="28" s="1"/>
  <c r="AR36" i="28" s="1"/>
  <c r="AS37" i="28" s="1"/>
  <c r="R38" i="28" s="1"/>
  <c r="K33" i="28"/>
  <c r="B33" i="28"/>
  <c r="Y34" i="28" s="1"/>
  <c r="I33" i="28"/>
  <c r="D34" i="28"/>
  <c r="V34" i="28"/>
  <c r="H33" i="28"/>
  <c r="AA33" i="28"/>
  <c r="Z33" i="28"/>
  <c r="M33" i="28"/>
  <c r="G131" i="19" l="1"/>
  <c r="B132" i="19"/>
  <c r="D133" i="19"/>
  <c r="H132" i="19"/>
  <c r="I132" i="19"/>
  <c r="J132" i="19" s="1"/>
  <c r="K132" i="19" s="1"/>
  <c r="F132" i="19"/>
  <c r="P33" i="28"/>
  <c r="Q33" i="28" s="1"/>
  <c r="N33" i="28"/>
  <c r="J33" i="28"/>
  <c r="E34" i="28"/>
  <c r="G34" i="28" s="1"/>
  <c r="C33" i="28"/>
  <c r="S33" i="28"/>
  <c r="U34" i="28"/>
  <c r="T33" i="28"/>
  <c r="W34" i="28" s="1"/>
  <c r="L33" i="28"/>
  <c r="G132" i="19" l="1"/>
  <c r="H133" i="19"/>
  <c r="I133" i="19"/>
  <c r="J133" i="19" s="1"/>
  <c r="K133" i="19" s="1"/>
  <c r="D134" i="19"/>
  <c r="F133" i="19"/>
  <c r="B133" i="19"/>
  <c r="O33" i="28"/>
  <c r="F34" i="28"/>
  <c r="AB34" i="28"/>
  <c r="AO34" i="28"/>
  <c r="AH34" i="28"/>
  <c r="AM34" i="28"/>
  <c r="AD34" i="28"/>
  <c r="AI34" i="28"/>
  <c r="AJ34" i="28"/>
  <c r="AN34" i="28"/>
  <c r="AK34" i="28"/>
  <c r="AE34" i="28"/>
  <c r="AL34" i="28"/>
  <c r="AF34" i="28"/>
  <c r="AC34" i="28"/>
  <c r="AG34" i="28"/>
  <c r="X34" i="28"/>
  <c r="G133" i="19" l="1"/>
  <c r="H134" i="19"/>
  <c r="D135" i="19"/>
  <c r="I134" i="19"/>
  <c r="J134" i="19" s="1"/>
  <c r="K134" i="19" s="1"/>
  <c r="F134" i="19"/>
  <c r="B134" i="19"/>
  <c r="V35" i="28"/>
  <c r="M34" i="28"/>
  <c r="Z34" i="28"/>
  <c r="AA34" i="28"/>
  <c r="H34" i="28"/>
  <c r="D35" i="28"/>
  <c r="AP35" i="28"/>
  <c r="AQ36" i="28" s="1"/>
  <c r="AR37" i="28" s="1"/>
  <c r="AS38" i="28" s="1"/>
  <c r="R39" i="28" s="1"/>
  <c r="K34" i="28"/>
  <c r="B34" i="28"/>
  <c r="Y35" i="28" s="1"/>
  <c r="I34" i="28"/>
  <c r="G134" i="19" l="1"/>
  <c r="B135" i="19"/>
  <c r="D136" i="19"/>
  <c r="B136" i="19" s="1"/>
  <c r="H135" i="19"/>
  <c r="I135" i="19"/>
  <c r="J135" i="19" s="1"/>
  <c r="K135" i="19" s="1"/>
  <c r="F135" i="19"/>
  <c r="U35" i="28"/>
  <c r="E35" i="28"/>
  <c r="G35" i="28" s="1"/>
  <c r="S34" i="28"/>
  <c r="C34" i="28"/>
  <c r="P34" i="28"/>
  <c r="Q34" i="28" s="1"/>
  <c r="O34" i="28" s="1"/>
  <c r="N34" i="28"/>
  <c r="J34" i="28"/>
  <c r="T34" i="28"/>
  <c r="W35" i="28" s="1"/>
  <c r="L34" i="28"/>
  <c r="G135" i="19" l="1"/>
  <c r="X35" i="28"/>
  <c r="D137" i="19"/>
  <c r="H136" i="19"/>
  <c r="I136" i="19"/>
  <c r="J136" i="19" s="1"/>
  <c r="K136" i="19" s="1"/>
  <c r="F136" i="19"/>
  <c r="F35" i="28"/>
  <c r="V36" i="28"/>
  <c r="AK35" i="28"/>
  <c r="AD35" i="28"/>
  <c r="AG35" i="28"/>
  <c r="AJ35" i="28"/>
  <c r="AI35" i="28"/>
  <c r="AL35" i="28"/>
  <c r="AE35" i="28"/>
  <c r="AO35" i="28"/>
  <c r="AN35" i="28"/>
  <c r="AF35" i="28"/>
  <c r="AH35" i="28"/>
  <c r="AM35" i="28"/>
  <c r="AC35" i="28"/>
  <c r="AB35" i="28"/>
  <c r="G136" i="19" l="1"/>
  <c r="AP36" i="28"/>
  <c r="AQ37" i="28" s="1"/>
  <c r="AR38" i="28" s="1"/>
  <c r="AS39" i="28" s="1"/>
  <c r="R40" i="28" s="1"/>
  <c r="D138" i="19"/>
  <c r="H137" i="19"/>
  <c r="F137" i="19"/>
  <c r="B137" i="19"/>
  <c r="Z35" i="28"/>
  <c r="M35" i="28"/>
  <c r="AA35" i="28"/>
  <c r="H35" i="28"/>
  <c r="K35" i="28"/>
  <c r="B35" i="28"/>
  <c r="Y36" i="28" s="1"/>
  <c r="I35" i="28"/>
  <c r="D36" i="28"/>
  <c r="G137" i="19" l="1"/>
  <c r="I137" i="19"/>
  <c r="J137" i="19" s="1"/>
  <c r="K137" i="19" s="1"/>
  <c r="B138" i="19"/>
  <c r="H138" i="19"/>
  <c r="I138" i="19"/>
  <c r="J138" i="19" s="1"/>
  <c r="K138" i="19" s="1"/>
  <c r="F138" i="19"/>
  <c r="E36" i="28"/>
  <c r="G36" i="28" s="1"/>
  <c r="F36" i="28"/>
  <c r="S35" i="28"/>
  <c r="C35" i="28"/>
  <c r="T35" i="28"/>
  <c r="W36" i="28" s="1"/>
  <c r="L35" i="28"/>
  <c r="U36" i="28"/>
  <c r="P35" i="28"/>
  <c r="Q35" i="28" s="1"/>
  <c r="O35" i="28" s="1"/>
  <c r="N35" i="28"/>
  <c r="J35" i="28"/>
  <c r="G138" i="19" l="1"/>
  <c r="X36" i="28"/>
  <c r="V37" i="28" s="1"/>
  <c r="AL36" i="28"/>
  <c r="AI36" i="28"/>
  <c r="AG36" i="28"/>
  <c r="AE36" i="28"/>
  <c r="AJ36" i="28"/>
  <c r="AH36" i="28"/>
  <c r="AK36" i="28"/>
  <c r="AM36" i="28"/>
  <c r="AN36" i="28"/>
  <c r="AF36" i="28"/>
  <c r="AO36" i="28"/>
  <c r="AD36" i="28"/>
  <c r="AC36" i="28"/>
  <c r="AB36" i="28"/>
  <c r="AA36" i="28" l="1"/>
  <c r="H36" i="28"/>
  <c r="D37" i="28"/>
  <c r="Z36" i="28"/>
  <c r="M36" i="28"/>
  <c r="AP37" i="28"/>
  <c r="AQ38" i="28" s="1"/>
  <c r="AR39" i="28" s="1"/>
  <c r="AS40" i="28" s="1"/>
  <c r="R41" i="28" s="1"/>
  <c r="K36" i="28"/>
  <c r="I36" i="28"/>
  <c r="B36" i="28"/>
  <c r="Y37" i="28" s="1"/>
  <c r="U37" i="28" l="1"/>
  <c r="S36" i="28"/>
  <c r="C36" i="28"/>
  <c r="E37" i="28"/>
  <c r="G37" i="28" s="1"/>
  <c r="P36" i="28"/>
  <c r="Q36" i="28" s="1"/>
  <c r="N36" i="28"/>
  <c r="J36" i="28"/>
  <c r="T36" i="28"/>
  <c r="W37" i="28" s="1"/>
  <c r="L36" i="28"/>
  <c r="F37" i="28" l="1"/>
  <c r="O36" i="28"/>
  <c r="AJ37" i="28"/>
  <c r="AG37" i="28"/>
  <c r="AO37" i="28"/>
  <c r="AM37" i="28"/>
  <c r="AL37" i="28"/>
  <c r="AC37" i="28"/>
  <c r="AH37" i="28"/>
  <c r="AI37" i="28"/>
  <c r="AK37" i="28"/>
  <c r="AN37" i="28"/>
  <c r="AD37" i="28"/>
  <c r="AF37" i="28"/>
  <c r="AE37" i="28"/>
  <c r="AB37" i="28"/>
  <c r="X37" i="28"/>
  <c r="AP38" i="28" l="1"/>
  <c r="AQ39" i="28" s="1"/>
  <c r="AR40" i="28" s="1"/>
  <c r="AS41" i="28" s="1"/>
  <c r="R42" i="28" s="1"/>
  <c r="H37" i="28"/>
  <c r="AA37" i="28"/>
  <c r="B37" i="28"/>
  <c r="Y38" i="28" s="1"/>
  <c r="K37" i="28"/>
  <c r="I37" i="28"/>
  <c r="D38" i="28"/>
  <c r="Z37" i="28"/>
  <c r="M37" i="28"/>
  <c r="V38" i="28"/>
  <c r="T37" i="28" l="1"/>
  <c r="W38" i="28" s="1"/>
  <c r="L37" i="28"/>
  <c r="S37" i="28"/>
  <c r="C37" i="28"/>
  <c r="E13" i="1" s="1"/>
  <c r="E38" i="28"/>
  <c r="G38" i="28" s="1"/>
  <c r="P37" i="28"/>
  <c r="Q37" i="28" s="1"/>
  <c r="J37" i="28"/>
  <c r="N37" i="28"/>
  <c r="U38" i="28"/>
  <c r="X38" i="28" s="1"/>
  <c r="F38" i="28" l="1"/>
  <c r="O37" i="28"/>
  <c r="V39" i="28"/>
  <c r="K17" i="6"/>
  <c r="AB38" i="28"/>
  <c r="AE38" i="28"/>
  <c r="AM38" i="28"/>
  <c r="AD38" i="28"/>
  <c r="AL38" i="28"/>
  <c r="AN38" i="28"/>
  <c r="AF38" i="28"/>
  <c r="AG38" i="28"/>
  <c r="AJ38" i="28"/>
  <c r="AH38" i="28"/>
  <c r="AC38" i="28"/>
  <c r="AO38" i="28"/>
  <c r="AI38" i="28"/>
  <c r="AK38" i="28"/>
  <c r="AP39" i="28" l="1"/>
  <c r="AQ40" i="28" s="1"/>
  <c r="AR41" i="28" s="1"/>
  <c r="AS42" i="28" s="1"/>
  <c r="R43" i="28" s="1"/>
  <c r="H38" i="28"/>
  <c r="AA38" i="28"/>
  <c r="D39" i="28"/>
  <c r="B38" i="28"/>
  <c r="Y39" i="28" s="1"/>
  <c r="I38" i="28"/>
  <c r="K38" i="28"/>
  <c r="Z38" i="28"/>
  <c r="M38" i="28"/>
  <c r="C38" i="28" l="1"/>
  <c r="E39" i="28"/>
  <c r="G39" i="28" s="1"/>
  <c r="S38" i="28"/>
  <c r="T38" i="28"/>
  <c r="W39" i="28" s="1"/>
  <c r="L38" i="28"/>
  <c r="P38" i="28"/>
  <c r="Q38" i="28" s="1"/>
  <c r="N38" i="28"/>
  <c r="J38" i="28"/>
  <c r="U39" i="28"/>
  <c r="F39" i="28" l="1"/>
  <c r="X39" i="28"/>
  <c r="O38" i="28"/>
  <c r="AB39" i="28"/>
  <c r="AI39" i="28"/>
  <c r="AO39" i="28"/>
  <c r="AM39" i="28"/>
  <c r="AJ39" i="28"/>
  <c r="AG39" i="28"/>
  <c r="AL39" i="28"/>
  <c r="AN39" i="28"/>
  <c r="AE39" i="28"/>
  <c r="AF39" i="28"/>
  <c r="AC39" i="28"/>
  <c r="AH39" i="28"/>
  <c r="AK39" i="28"/>
  <c r="AD39" i="28"/>
  <c r="D40" i="28" l="1"/>
  <c r="M39" i="28"/>
  <c r="Z39" i="28"/>
  <c r="I39" i="28"/>
  <c r="K39" i="28"/>
  <c r="B39" i="28"/>
  <c r="Y40" i="28" s="1"/>
  <c r="AP40" i="28"/>
  <c r="AQ41" i="28" s="1"/>
  <c r="AR42" i="28" s="1"/>
  <c r="AS43" i="28" s="1"/>
  <c r="R44" i="28" s="1"/>
  <c r="AA39" i="28"/>
  <c r="U40" i="28" s="1"/>
  <c r="H39" i="28"/>
  <c r="V40" i="28"/>
  <c r="T39" i="28" l="1"/>
  <c r="W40" i="28" s="1"/>
  <c r="X40" i="28" s="1"/>
  <c r="L39" i="28"/>
  <c r="P39" i="28"/>
  <c r="Q39" i="28" s="1"/>
  <c r="J39" i="28"/>
  <c r="N39" i="28"/>
  <c r="S39" i="28"/>
  <c r="E40" i="28"/>
  <c r="G40" i="28" s="1"/>
  <c r="C39" i="28"/>
  <c r="F40" i="28" l="1"/>
  <c r="AM40" i="28"/>
  <c r="AK40" i="28"/>
  <c r="AF40" i="28"/>
  <c r="AO40" i="28"/>
  <c r="AH40" i="28"/>
  <c r="AL40" i="28"/>
  <c r="AI40" i="28"/>
  <c r="AC40" i="28"/>
  <c r="AD40" i="28"/>
  <c r="AG40" i="28"/>
  <c r="AN40" i="28"/>
  <c r="AE40" i="28"/>
  <c r="AJ40" i="28"/>
  <c r="O39" i="28"/>
  <c r="AB40" i="28"/>
  <c r="V41" i="28"/>
  <c r="K40" i="28" l="1"/>
  <c r="I40" i="28"/>
  <c r="B40" i="28"/>
  <c r="Y41" i="28" s="1"/>
  <c r="D41" i="28"/>
  <c r="Z40" i="28"/>
  <c r="M40" i="28"/>
  <c r="AP41" i="28"/>
  <c r="AQ42" i="28" s="1"/>
  <c r="AR43" i="28" s="1"/>
  <c r="AS44" i="28" s="1"/>
  <c r="R45" i="28" s="1"/>
  <c r="H40" i="28"/>
  <c r="AA40" i="28"/>
  <c r="U41" i="28" l="1"/>
  <c r="T40" i="28"/>
  <c r="W41" i="28" s="1"/>
  <c r="X41" i="28" s="1"/>
  <c r="V42" i="28" s="1"/>
  <c r="L40" i="28"/>
  <c r="P40" i="28"/>
  <c r="Q40" i="28" s="1"/>
  <c r="O40" i="28" s="1"/>
  <c r="J40" i="28"/>
  <c r="N40" i="28"/>
  <c r="S40" i="28"/>
  <c r="E41" i="28"/>
  <c r="G41" i="28" s="1"/>
  <c r="C40" i="28"/>
  <c r="F41" i="28" l="1"/>
  <c r="AN41" i="28"/>
  <c r="AH41" i="28"/>
  <c r="AG41" i="28"/>
  <c r="AI41" i="28"/>
  <c r="AE41" i="28"/>
  <c r="AF41" i="28"/>
  <c r="AJ41" i="28"/>
  <c r="AM41" i="28"/>
  <c r="AC41" i="28"/>
  <c r="AD41" i="28"/>
  <c r="AL41" i="28"/>
  <c r="AK41" i="28"/>
  <c r="AO41" i="28"/>
  <c r="AB41" i="28"/>
  <c r="D42" i="28" l="1"/>
  <c r="AA41" i="28"/>
  <c r="H41" i="28"/>
  <c r="B41" i="28"/>
  <c r="Y42" i="28" s="1"/>
  <c r="I41" i="28"/>
  <c r="K41" i="28"/>
  <c r="Z41" i="28"/>
  <c r="M41" i="28"/>
  <c r="AP42" i="28"/>
  <c r="AQ43" i="28" s="1"/>
  <c r="AR44" i="28" s="1"/>
  <c r="AS45" i="28" s="1"/>
  <c r="R46" i="28" s="1"/>
  <c r="U42" i="28" l="1"/>
  <c r="T41" i="28"/>
  <c r="W42" i="28" s="1"/>
  <c r="L41" i="28"/>
  <c r="P41" i="28"/>
  <c r="Q41" i="28" s="1"/>
  <c r="N41" i="28"/>
  <c r="J41" i="28"/>
  <c r="E42" i="28"/>
  <c r="G42" i="28" s="1"/>
  <c r="C41" i="28"/>
  <c r="S41" i="28"/>
  <c r="X42" i="28" l="1"/>
  <c r="F42" i="28"/>
  <c r="AO42" i="28"/>
  <c r="AF42" i="28"/>
  <c r="AN42" i="28"/>
  <c r="AP43" i="28" s="1"/>
  <c r="AQ44" i="28" s="1"/>
  <c r="AR45" i="28" s="1"/>
  <c r="AS46" i="28" s="1"/>
  <c r="R47" i="28" s="1"/>
  <c r="AE42" i="28"/>
  <c r="AH42" i="28"/>
  <c r="AI42" i="28"/>
  <c r="AG42" i="28"/>
  <c r="AC42" i="28"/>
  <c r="AJ42" i="28"/>
  <c r="AL42" i="28"/>
  <c r="AM42" i="28"/>
  <c r="AD42" i="28"/>
  <c r="AK42" i="28"/>
  <c r="V43" i="28"/>
  <c r="AB42" i="28"/>
  <c r="O41" i="28"/>
  <c r="AA42" i="28" l="1"/>
  <c r="H42" i="28"/>
  <c r="D43" i="28"/>
  <c r="M42" i="28"/>
  <c r="Z42" i="28"/>
  <c r="K42" i="28"/>
  <c r="B42" i="28"/>
  <c r="Y43" i="28" s="1"/>
  <c r="I42" i="28"/>
  <c r="U43" i="28" l="1"/>
  <c r="P42" i="28"/>
  <c r="Q42" i="28" s="1"/>
  <c r="J42" i="28"/>
  <c r="N42" i="28"/>
  <c r="T42" i="28"/>
  <c r="W43" i="28" s="1"/>
  <c r="X43" i="28" s="1"/>
  <c r="L42" i="28"/>
  <c r="E43" i="28"/>
  <c r="G43" i="28" s="1"/>
  <c r="S42" i="28"/>
  <c r="C42" i="28"/>
  <c r="F43" i="28" l="1"/>
  <c r="O42" i="28"/>
  <c r="V44" i="28"/>
  <c r="AK43" i="28"/>
  <c r="AG43" i="28"/>
  <c r="AH43" i="28"/>
  <c r="AM43" i="28"/>
  <c r="AF43" i="28"/>
  <c r="AI43" i="28"/>
  <c r="AO43" i="28"/>
  <c r="AD43" i="28"/>
  <c r="AN43" i="28"/>
  <c r="AC43" i="28"/>
  <c r="AE43" i="28"/>
  <c r="AL43" i="28"/>
  <c r="AJ43" i="28"/>
  <c r="AB43" i="28"/>
  <c r="AP44" i="28" l="1"/>
  <c r="AQ45" i="28" s="1"/>
  <c r="AR46" i="28" s="1"/>
  <c r="AS47" i="28" s="1"/>
  <c r="R48" i="28" s="1"/>
  <c r="M43" i="28"/>
  <c r="Z43" i="28"/>
  <c r="D44" i="28"/>
  <c r="I43" i="28"/>
  <c r="B43" i="28"/>
  <c r="Y44" i="28" s="1"/>
  <c r="K43" i="28"/>
  <c r="AA43" i="28"/>
  <c r="H43" i="28"/>
  <c r="E44" i="28" l="1"/>
  <c r="G44" i="28" s="1"/>
  <c r="C43" i="28"/>
  <c r="S43" i="28"/>
  <c r="F44" i="28"/>
  <c r="P43" i="28"/>
  <c r="Q43" i="28" s="1"/>
  <c r="O43" i="28" s="1"/>
  <c r="N43" i="28"/>
  <c r="J43" i="28"/>
  <c r="T43" i="28"/>
  <c r="W44" i="28" s="1"/>
  <c r="L43" i="28"/>
  <c r="U44" i="28"/>
  <c r="X44" i="28" l="1"/>
  <c r="AN44" i="28"/>
  <c r="AE44" i="28"/>
  <c r="AI44" i="28"/>
  <c r="AF44" i="28"/>
  <c r="AO44" i="28"/>
  <c r="AL44" i="28"/>
  <c r="AD44" i="28"/>
  <c r="AJ44" i="28"/>
  <c r="AH44" i="28"/>
  <c r="AM44" i="28"/>
  <c r="AK44" i="28"/>
  <c r="AC44" i="28"/>
  <c r="AG44" i="28"/>
  <c r="V45" i="28"/>
  <c r="AB44" i="28"/>
  <c r="AA44" i="28" l="1"/>
  <c r="H44" i="28"/>
  <c r="Z44" i="28"/>
  <c r="U45" i="28" s="1"/>
  <c r="M44" i="28"/>
  <c r="D45" i="28"/>
  <c r="I44" i="28"/>
  <c r="K44" i="28"/>
  <c r="B44" i="28"/>
  <c r="Y45" i="28" s="1"/>
  <c r="AP45" i="28"/>
  <c r="AQ46" i="28" s="1"/>
  <c r="AR47" i="28" s="1"/>
  <c r="AS48" i="28" s="1"/>
  <c r="R49" i="28" s="1"/>
  <c r="S44" i="28" l="1"/>
  <c r="C44" i="28"/>
  <c r="E45" i="28"/>
  <c r="G45" i="28" s="1"/>
  <c r="T44" i="28"/>
  <c r="W45" i="28" s="1"/>
  <c r="X45" i="28" s="1"/>
  <c r="L44" i="28"/>
  <c r="P44" i="28"/>
  <c r="Q44" i="28" s="1"/>
  <c r="N44" i="28"/>
  <c r="J44" i="28"/>
  <c r="F45" i="28" l="1"/>
  <c r="O44" i="28"/>
  <c r="V46" i="28"/>
  <c r="AB45" i="28"/>
  <c r="AI45" i="28"/>
  <c r="AL45" i="28"/>
  <c r="AK45" i="28"/>
  <c r="AJ45" i="28"/>
  <c r="AH45" i="28"/>
  <c r="AO45" i="28"/>
  <c r="AG45" i="28"/>
  <c r="AF45" i="28"/>
  <c r="AN45" i="28"/>
  <c r="AD45" i="28"/>
  <c r="AM45" i="28"/>
  <c r="AC45" i="28"/>
  <c r="AE45" i="28"/>
  <c r="B45" i="28" l="1"/>
  <c r="Y46" i="28" s="1"/>
  <c r="I45" i="28"/>
  <c r="K45" i="28"/>
  <c r="AA45" i="28"/>
  <c r="H45" i="28"/>
  <c r="AP46" i="28"/>
  <c r="AQ47" i="28" s="1"/>
  <c r="AR48" i="28" s="1"/>
  <c r="AS49" i="28" s="1"/>
  <c r="R50" i="28" s="1"/>
  <c r="Z45" i="28"/>
  <c r="M45" i="28"/>
  <c r="D46" i="28"/>
  <c r="U46" i="28" l="1"/>
  <c r="P45" i="28"/>
  <c r="Q45" i="28" s="1"/>
  <c r="O45" i="28" s="1"/>
  <c r="N45" i="28"/>
  <c r="J45" i="28"/>
  <c r="E46" i="28"/>
  <c r="G46" i="28" s="1"/>
  <c r="C45" i="28"/>
  <c r="F46" i="28"/>
  <c r="S45" i="28"/>
  <c r="T45" i="28"/>
  <c r="W46" i="28" s="1"/>
  <c r="L45" i="28"/>
  <c r="X46" i="28" l="1"/>
  <c r="AB46" i="28"/>
  <c r="AL46" i="28"/>
  <c r="AH46" i="28"/>
  <c r="AI46" i="28"/>
  <c r="AN46" i="28"/>
  <c r="AP47" i="28" s="1"/>
  <c r="AQ48" i="28" s="1"/>
  <c r="AR49" i="28" s="1"/>
  <c r="AS50" i="28" s="1"/>
  <c r="R51" i="28" s="1"/>
  <c r="AC46" i="28"/>
  <c r="AE46" i="28"/>
  <c r="AG46" i="28"/>
  <c r="AK46" i="28"/>
  <c r="AD46" i="28"/>
  <c r="AO46" i="28"/>
  <c r="AM46" i="28"/>
  <c r="AF46" i="28"/>
  <c r="AJ46" i="28"/>
  <c r="V47" i="28"/>
  <c r="D47" i="28" l="1"/>
  <c r="M46" i="28"/>
  <c r="Z46" i="28"/>
  <c r="AA46" i="28"/>
  <c r="H46" i="28"/>
  <c r="K46" i="28"/>
  <c r="B46" i="28"/>
  <c r="Y47" i="28" s="1"/>
  <c r="I46" i="28"/>
  <c r="U47" i="28" l="1"/>
  <c r="P46" i="28"/>
  <c r="Q46" i="28" s="1"/>
  <c r="O46" i="28" s="1"/>
  <c r="N46" i="28"/>
  <c r="J46" i="28"/>
  <c r="S46" i="28"/>
  <c r="E47" i="28"/>
  <c r="G47" i="28" s="1"/>
  <c r="C46" i="28"/>
  <c r="F47" i="28"/>
  <c r="T46" i="28"/>
  <c r="W47" i="28" s="1"/>
  <c r="L46" i="28"/>
  <c r="X47" i="28" l="1"/>
  <c r="V48" i="28" s="1"/>
  <c r="AB47" i="28"/>
  <c r="AD47" i="28"/>
  <c r="AH47" i="28"/>
  <c r="AC47" i="28"/>
  <c r="AG47" i="28"/>
  <c r="AM47" i="28"/>
  <c r="AE47" i="28"/>
  <c r="AJ47" i="28"/>
  <c r="AI47" i="28"/>
  <c r="AK47" i="28"/>
  <c r="AO47" i="28"/>
  <c r="AL47" i="28"/>
  <c r="AF47" i="28"/>
  <c r="AN47" i="28"/>
  <c r="AA47" i="28" l="1"/>
  <c r="H47" i="28"/>
  <c r="Z47" i="28"/>
  <c r="M47" i="28"/>
  <c r="K47" i="28"/>
  <c r="B47" i="28"/>
  <c r="Y48" i="28" s="1"/>
  <c r="I47" i="28"/>
  <c r="D48" i="28"/>
  <c r="AP48" i="28"/>
  <c r="AQ49" i="28" s="1"/>
  <c r="AR50" i="28" s="1"/>
  <c r="AS51" i="28" s="1"/>
  <c r="R52" i="28" s="1"/>
  <c r="P47" i="28" l="1"/>
  <c r="Q47" i="28" s="1"/>
  <c r="J47" i="28"/>
  <c r="N47" i="28"/>
  <c r="C47" i="28"/>
  <c r="S47" i="28"/>
  <c r="E48" i="28"/>
  <c r="G48" i="28" s="1"/>
  <c r="F48" i="28"/>
  <c r="T47" i="28"/>
  <c r="W48" i="28" s="1"/>
  <c r="L47" i="28"/>
  <c r="U48" i="28"/>
  <c r="O47" i="28" l="1"/>
  <c r="X48" i="28"/>
  <c r="V49" i="28" s="1"/>
  <c r="AI48" i="28"/>
  <c r="AD48" i="28"/>
  <c r="AJ48" i="28"/>
  <c r="AH48" i="28"/>
  <c r="AF48" i="28"/>
  <c r="AK48" i="28"/>
  <c r="AC48" i="28"/>
  <c r="AE48" i="28"/>
  <c r="AL48" i="28"/>
  <c r="AN48" i="28"/>
  <c r="AG48" i="28"/>
  <c r="AM48" i="28"/>
  <c r="AO48" i="28"/>
  <c r="AB48" i="28"/>
  <c r="Z48" i="28" l="1"/>
  <c r="M48" i="28"/>
  <c r="H48" i="28"/>
  <c r="AA48" i="28"/>
  <c r="U49" i="28" s="1"/>
  <c r="D49" i="28"/>
  <c r="AP49" i="28"/>
  <c r="AQ50" i="28" s="1"/>
  <c r="AR51" i="28" s="1"/>
  <c r="AS52" i="28" s="1"/>
  <c r="R53" i="28" s="1"/>
  <c r="I48" i="28"/>
  <c r="K48" i="28"/>
  <c r="B48" i="28"/>
  <c r="Y49" i="28" s="1"/>
  <c r="C48" i="28" l="1"/>
  <c r="S48" i="28"/>
  <c r="E49" i="28"/>
  <c r="G49" i="28" s="1"/>
  <c r="F49" i="28"/>
  <c r="T48" i="28"/>
  <c r="W49" i="28" s="1"/>
  <c r="X49" i="28" s="1"/>
  <c r="L48" i="28"/>
  <c r="P48" i="28"/>
  <c r="Q48" i="28" s="1"/>
  <c r="N48" i="28"/>
  <c r="J48" i="28"/>
  <c r="O48" i="28" l="1"/>
  <c r="V50" i="28"/>
  <c r="AH49" i="28"/>
  <c r="AM49" i="28"/>
  <c r="AF49" i="28"/>
  <c r="AD49" i="28"/>
  <c r="AO49" i="28"/>
  <c r="AN49" i="28"/>
  <c r="AJ49" i="28"/>
  <c r="AC49" i="28"/>
  <c r="AL49" i="28"/>
  <c r="AG49" i="28"/>
  <c r="AE49" i="28"/>
  <c r="AK49" i="28"/>
  <c r="AI49" i="28"/>
  <c r="AB49" i="28"/>
  <c r="AP50" i="28" l="1"/>
  <c r="AQ51" i="28" s="1"/>
  <c r="AR52" i="28" s="1"/>
  <c r="AS53" i="28" s="1"/>
  <c r="R54" i="28" s="1"/>
  <c r="Z49" i="28"/>
  <c r="M49" i="28"/>
  <c r="D50" i="28"/>
  <c r="AA49" i="28"/>
  <c r="H49" i="28"/>
  <c r="B49" i="28"/>
  <c r="Y50" i="28" s="1"/>
  <c r="I49" i="28"/>
  <c r="K49" i="28"/>
  <c r="U50" i="28" l="1"/>
  <c r="T49" i="28"/>
  <c r="W50" i="28" s="1"/>
  <c r="L49" i="28"/>
  <c r="P49" i="28"/>
  <c r="Q49" i="28" s="1"/>
  <c r="J49" i="28"/>
  <c r="N49" i="28"/>
  <c r="X50" i="28"/>
  <c r="E50" i="28"/>
  <c r="G50" i="28" s="1"/>
  <c r="S49" i="28"/>
  <c r="C49" i="28"/>
  <c r="F50" i="28"/>
  <c r="AK50" i="28" l="1"/>
  <c r="AO50" i="28"/>
  <c r="AH50" i="28"/>
  <c r="AE50" i="28"/>
  <c r="AG50" i="28"/>
  <c r="AL50" i="28"/>
  <c r="AD50" i="28"/>
  <c r="AC50" i="28"/>
  <c r="AI50" i="28"/>
  <c r="AF50" i="28"/>
  <c r="AJ50" i="28"/>
  <c r="AN50" i="28"/>
  <c r="AP51" i="28" s="1"/>
  <c r="AQ52" i="28" s="1"/>
  <c r="AR53" i="28" s="1"/>
  <c r="AS54" i="28" s="1"/>
  <c r="R55" i="28" s="1"/>
  <c r="AM50" i="28"/>
  <c r="O49" i="28"/>
  <c r="AB50" i="28"/>
  <c r="V51" i="28"/>
  <c r="B50" i="28" l="1"/>
  <c r="Y51" i="28" s="1"/>
  <c r="K50" i="28"/>
  <c r="I50" i="28"/>
  <c r="D51" i="28"/>
  <c r="Z50" i="28"/>
  <c r="M50" i="28"/>
  <c r="H50" i="28"/>
  <c r="AA50" i="28"/>
  <c r="E51" i="28" l="1"/>
  <c r="G51" i="28" s="1"/>
  <c r="S50" i="28"/>
  <c r="F51" i="28"/>
  <c r="C50" i="28"/>
  <c r="U51" i="28"/>
  <c r="X51" i="28" s="1"/>
  <c r="P50" i="28"/>
  <c r="Q50" i="28" s="1"/>
  <c r="O50" i="28" s="1"/>
  <c r="J50" i="28"/>
  <c r="N50" i="28"/>
  <c r="T50" i="28"/>
  <c r="W51" i="28" s="1"/>
  <c r="L50" i="28"/>
  <c r="AF51" i="28" l="1"/>
  <c r="AD51" i="28"/>
  <c r="AJ51" i="28"/>
  <c r="AH51" i="28"/>
  <c r="AO51" i="28"/>
  <c r="AI51" i="28"/>
  <c r="AL51" i="28"/>
  <c r="AC51" i="28"/>
  <c r="AM51" i="28"/>
  <c r="AE51" i="28"/>
  <c r="AG51" i="28"/>
  <c r="AK51" i="28"/>
  <c r="AN51" i="28"/>
  <c r="V52" i="28"/>
  <c r="AB51" i="28"/>
  <c r="AP52" i="28" l="1"/>
  <c r="AQ53" i="28" s="1"/>
  <c r="AR54" i="28" s="1"/>
  <c r="AS55" i="28" s="1"/>
  <c r="R56" i="28" s="1"/>
  <c r="D52" i="28"/>
  <c r="B51" i="28"/>
  <c r="Y52" i="28" s="1"/>
  <c r="I51" i="28"/>
  <c r="K51" i="28"/>
  <c r="M51" i="28"/>
  <c r="Z51" i="28"/>
  <c r="H51" i="28"/>
  <c r="AA51" i="28"/>
  <c r="E52" i="28" l="1"/>
  <c r="G52" i="28" s="1"/>
  <c r="C51" i="28"/>
  <c r="S51" i="28"/>
  <c r="F52" i="28"/>
  <c r="T51" i="28"/>
  <c r="W52" i="28" s="1"/>
  <c r="L51" i="28"/>
  <c r="P51" i="28"/>
  <c r="Q51" i="28" s="1"/>
  <c r="O51" i="28" s="1"/>
  <c r="J51" i="28"/>
  <c r="N51" i="28"/>
  <c r="U52" i="28"/>
  <c r="AN52" i="28" l="1"/>
  <c r="AC52" i="28"/>
  <c r="AI52" i="28"/>
  <c r="AL52" i="28"/>
  <c r="AK52" i="28"/>
  <c r="AM52" i="28"/>
  <c r="AH52" i="28"/>
  <c r="AG52" i="28"/>
  <c r="AJ52" i="28"/>
  <c r="AF52" i="28"/>
  <c r="AO52" i="28"/>
  <c r="AP53" i="28" s="1"/>
  <c r="AQ54" i="28" s="1"/>
  <c r="AR55" i="28" s="1"/>
  <c r="AS56" i="28" s="1"/>
  <c r="R57" i="28" s="1"/>
  <c r="AD52" i="28"/>
  <c r="AE52" i="28"/>
  <c r="X52" i="28"/>
  <c r="AB52" i="28"/>
  <c r="V53" i="28" l="1"/>
  <c r="D53" i="28"/>
  <c r="AA52" i="28"/>
  <c r="H52" i="28"/>
  <c r="K52" i="28"/>
  <c r="I52" i="28"/>
  <c r="B52" i="28"/>
  <c r="Y53" i="28" s="1"/>
  <c r="Z52" i="28"/>
  <c r="M52" i="28"/>
  <c r="E53" i="28" l="1"/>
  <c r="G53" i="28" s="1"/>
  <c r="F53" i="28"/>
  <c r="C52" i="28"/>
  <c r="S52" i="28"/>
  <c r="T52" i="28"/>
  <c r="W53" i="28" s="1"/>
  <c r="L52" i="28"/>
  <c r="P52" i="28"/>
  <c r="Q52" i="28" s="1"/>
  <c r="N52" i="28"/>
  <c r="J52" i="28"/>
  <c r="U53" i="28"/>
  <c r="O52" i="28" l="1"/>
  <c r="AH53" i="28"/>
  <c r="AD53" i="28"/>
  <c r="AJ53" i="28"/>
  <c r="AI53" i="28"/>
  <c r="AE53" i="28"/>
  <c r="AN53" i="28"/>
  <c r="AO53" i="28"/>
  <c r="AC53" i="28"/>
  <c r="AG53" i="28"/>
  <c r="AF53" i="28"/>
  <c r="AM53" i="28"/>
  <c r="AK53" i="28"/>
  <c r="AL53" i="28"/>
  <c r="X53" i="28"/>
  <c r="AB53" i="28"/>
  <c r="K53" i="28" l="1"/>
  <c r="I53" i="28"/>
  <c r="B53" i="28"/>
  <c r="Y54" i="28" s="1"/>
  <c r="V54" i="28"/>
  <c r="Z53" i="28"/>
  <c r="M53" i="28"/>
  <c r="AP54" i="28"/>
  <c r="AQ55" i="28" s="1"/>
  <c r="AR56" i="28" s="1"/>
  <c r="AS57" i="28" s="1"/>
  <c r="R58" i="28" s="1"/>
  <c r="D54" i="28"/>
  <c r="H53" i="28"/>
  <c r="AA53" i="28"/>
  <c r="E54" i="28" l="1"/>
  <c r="G54" i="28" s="1"/>
  <c r="F54" i="28"/>
  <c r="C53" i="28"/>
  <c r="S53" i="28"/>
  <c r="P53" i="28"/>
  <c r="Q53" i="28" s="1"/>
  <c r="J53" i="28"/>
  <c r="N53" i="28"/>
  <c r="U54" i="28"/>
  <c r="T53" i="28"/>
  <c r="W54" i="28" s="1"/>
  <c r="L53" i="28"/>
  <c r="X54" i="28" l="1"/>
  <c r="O53" i="28"/>
  <c r="AB54" i="28"/>
  <c r="V55" i="28"/>
  <c r="AL54" i="28"/>
  <c r="AM54" i="28"/>
  <c r="AC54" i="28"/>
  <c r="AN54" i="28"/>
  <c r="AG54" i="28"/>
  <c r="AD54" i="28"/>
  <c r="AH54" i="28"/>
  <c r="AO54" i="28"/>
  <c r="AE54" i="28"/>
  <c r="AI54" i="28"/>
  <c r="AJ54" i="28"/>
  <c r="AK54" i="28"/>
  <c r="AF54" i="28"/>
  <c r="D55" i="28" l="1"/>
  <c r="Z54" i="28"/>
  <c r="M54" i="28"/>
  <c r="H54" i="28"/>
  <c r="AA54" i="28"/>
  <c r="U55" i="28" s="1"/>
  <c r="K54" i="28"/>
  <c r="I54" i="28"/>
  <c r="B54" i="28"/>
  <c r="Y55" i="28" s="1"/>
  <c r="AP55" i="28"/>
  <c r="AQ56" i="28" s="1"/>
  <c r="AR57" i="28" s="1"/>
  <c r="AS58" i="28" s="1"/>
  <c r="R59" i="28" s="1"/>
  <c r="E55" i="28" l="1"/>
  <c r="G55" i="28" s="1"/>
  <c r="S54" i="28"/>
  <c r="F55" i="28"/>
  <c r="C54" i="28"/>
  <c r="T54" i="28"/>
  <c r="W55" i="28" s="1"/>
  <c r="X55" i="28" s="1"/>
  <c r="L54" i="28"/>
  <c r="P54" i="28"/>
  <c r="Q54" i="28" s="1"/>
  <c r="N54" i="28"/>
  <c r="J54" i="28"/>
  <c r="O54" i="28" l="1"/>
  <c r="V56" i="28"/>
  <c r="AE55" i="28"/>
  <c r="AH55" i="28"/>
  <c r="AO55" i="28"/>
  <c r="AG55" i="28"/>
  <c r="AC55" i="28"/>
  <c r="AD55" i="28"/>
  <c r="AN55" i="28"/>
  <c r="AF55" i="28"/>
  <c r="AJ55" i="28"/>
  <c r="AK55" i="28"/>
  <c r="AL55" i="28"/>
  <c r="AI55" i="28"/>
  <c r="AM55" i="28"/>
  <c r="AB55" i="28"/>
  <c r="D56" i="28" l="1"/>
  <c r="H55" i="28"/>
  <c r="AA55" i="28"/>
  <c r="Z55" i="28"/>
  <c r="M55" i="28"/>
  <c r="B55" i="28"/>
  <c r="Y56" i="28" s="1"/>
  <c r="K55" i="28"/>
  <c r="I55" i="28"/>
  <c r="AP56" i="28"/>
  <c r="AQ57" i="28" s="1"/>
  <c r="AR58" i="28" s="1"/>
  <c r="AS59" i="28" s="1"/>
  <c r="R60" i="28" s="1"/>
  <c r="P55" i="28" l="1"/>
  <c r="Q55" i="28" s="1"/>
  <c r="J55" i="28"/>
  <c r="N55" i="28"/>
  <c r="E56" i="28"/>
  <c r="G56" i="28" s="1"/>
  <c r="F56" i="28"/>
  <c r="C55" i="28"/>
  <c r="S55" i="28"/>
  <c r="U56" i="28"/>
  <c r="T55" i="28"/>
  <c r="W56" i="28" s="1"/>
  <c r="L55" i="28"/>
  <c r="O55" i="28" l="1"/>
  <c r="AB56" i="28"/>
  <c r="X56" i="28"/>
  <c r="AF56" i="28"/>
  <c r="AE56" i="28"/>
  <c r="AM56" i="28"/>
  <c r="AO56" i="28"/>
  <c r="AI56" i="28"/>
  <c r="AG56" i="28"/>
  <c r="AJ56" i="28"/>
  <c r="AN56" i="28"/>
  <c r="AC56" i="28"/>
  <c r="AK56" i="28"/>
  <c r="AD56" i="28"/>
  <c r="AH56" i="28"/>
  <c r="AL56" i="28"/>
  <c r="AP57" i="28" l="1"/>
  <c r="AQ58" i="28" s="1"/>
  <c r="AR59" i="28" s="1"/>
  <c r="AS60" i="28" s="1"/>
  <c r="R61" i="28" s="1"/>
  <c r="D57" i="28"/>
  <c r="Z56" i="28"/>
  <c r="M56" i="28"/>
  <c r="V57" i="28"/>
  <c r="B56" i="28"/>
  <c r="Y57" i="28" s="1"/>
  <c r="I56" i="28"/>
  <c r="K56" i="28"/>
  <c r="AA56" i="28"/>
  <c r="H56" i="28"/>
  <c r="U57" i="28" l="1"/>
  <c r="P56" i="28"/>
  <c r="Q56" i="28" s="1"/>
  <c r="O56" i="28" s="1"/>
  <c r="N56" i="28"/>
  <c r="J56" i="28"/>
  <c r="T56" i="28"/>
  <c r="W57" i="28" s="1"/>
  <c r="X57" i="28" s="1"/>
  <c r="L56" i="28"/>
  <c r="E57" i="28"/>
  <c r="G57" i="28" s="1"/>
  <c r="S56" i="28"/>
  <c r="F57" i="28"/>
  <c r="C56" i="28"/>
  <c r="V58" i="28" l="1"/>
  <c r="AN57" i="28"/>
  <c r="AJ57" i="28"/>
  <c r="AH57" i="28"/>
  <c r="AO57" i="28"/>
  <c r="AK57" i="28"/>
  <c r="AC57" i="28"/>
  <c r="AI57" i="28"/>
  <c r="AG57" i="28"/>
  <c r="AF57" i="28"/>
  <c r="AM57" i="28"/>
  <c r="AE57" i="28"/>
  <c r="AL57" i="28"/>
  <c r="AD57" i="28"/>
  <c r="AB57" i="28"/>
  <c r="D58" i="28" l="1"/>
  <c r="AP58" i="28"/>
  <c r="AQ59" i="28" s="1"/>
  <c r="AR60" i="28" s="1"/>
  <c r="AS61" i="28" s="1"/>
  <c r="R62" i="28" s="1"/>
  <c r="H57" i="28"/>
  <c r="AA57" i="28"/>
  <c r="Z57" i="28"/>
  <c r="M57" i="28"/>
  <c r="K57" i="28"/>
  <c r="B57" i="28"/>
  <c r="Y58" i="28" s="1"/>
  <c r="I57" i="28"/>
  <c r="U58" i="28" l="1"/>
  <c r="P57" i="28"/>
  <c r="Q57" i="28" s="1"/>
  <c r="O57" i="28" s="1"/>
  <c r="J57" i="28"/>
  <c r="N57" i="28"/>
  <c r="C57" i="28"/>
  <c r="S57" i="28"/>
  <c r="E58" i="28"/>
  <c r="G58" i="28" s="1"/>
  <c r="F58" i="28"/>
  <c r="T57" i="28"/>
  <c r="W58" i="28" s="1"/>
  <c r="L57" i="28"/>
  <c r="X58" i="28"/>
  <c r="AG58" i="28" l="1"/>
  <c r="AO58" i="28"/>
  <c r="AC58" i="28"/>
  <c r="AE58" i="28"/>
  <c r="AN58" i="28"/>
  <c r="AP59" i="28" s="1"/>
  <c r="AQ60" i="28" s="1"/>
  <c r="AR61" i="28" s="1"/>
  <c r="AS62" i="28" s="1"/>
  <c r="R63" i="28" s="1"/>
  <c r="AI58" i="28"/>
  <c r="AF58" i="28"/>
  <c r="AK58" i="28"/>
  <c r="AH58" i="28"/>
  <c r="AM58" i="28"/>
  <c r="AJ58" i="28"/>
  <c r="AL58" i="28"/>
  <c r="AD58" i="28"/>
  <c r="AB58" i="28"/>
  <c r="V59" i="28"/>
  <c r="I58" i="28" l="1"/>
  <c r="K58" i="28"/>
  <c r="B58" i="28"/>
  <c r="Y59" i="28" s="1"/>
  <c r="Z58" i="28"/>
  <c r="M58" i="28"/>
  <c r="D59" i="28"/>
  <c r="H58" i="28"/>
  <c r="AA58" i="28"/>
  <c r="U59" i="28" s="1"/>
  <c r="T58" i="28" l="1"/>
  <c r="W59" i="28" s="1"/>
  <c r="L58" i="28"/>
  <c r="X59" i="28"/>
  <c r="P58" i="28"/>
  <c r="Q58" i="28" s="1"/>
  <c r="O58" i="28" s="1"/>
  <c r="J58" i="28"/>
  <c r="N58" i="28"/>
  <c r="E59" i="28"/>
  <c r="G59" i="28" s="1"/>
  <c r="C58" i="28"/>
  <c r="S58" i="28"/>
  <c r="F59" i="28"/>
  <c r="AB59" i="28" l="1"/>
  <c r="AM59" i="28"/>
  <c r="AH59" i="28"/>
  <c r="AL59" i="28"/>
  <c r="AI59" i="28"/>
  <c r="AJ59" i="28"/>
  <c r="AC59" i="28"/>
  <c r="AO59" i="28"/>
  <c r="AN59" i="28"/>
  <c r="AD59" i="28"/>
  <c r="AF59" i="28"/>
  <c r="AE59" i="28"/>
  <c r="AG59" i="28"/>
  <c r="AK59" i="28"/>
  <c r="V60" i="28"/>
  <c r="AP60" i="28" l="1"/>
  <c r="AQ61" i="28" s="1"/>
  <c r="AR62" i="28" s="1"/>
  <c r="AS63" i="28" s="1"/>
  <c r="R64" i="28" s="1"/>
  <c r="Z59" i="28"/>
  <c r="M59" i="28"/>
  <c r="I59" i="28"/>
  <c r="B59" i="28"/>
  <c r="Y60" i="28" s="1"/>
  <c r="K59" i="28"/>
  <c r="H59" i="28"/>
  <c r="AA59" i="28"/>
  <c r="D60" i="28"/>
  <c r="E60" i="28" l="1"/>
  <c r="G60" i="28" s="1"/>
  <c r="F60" i="28"/>
  <c r="C59" i="28"/>
  <c r="S59" i="28"/>
  <c r="P59" i="28"/>
  <c r="Q59" i="28" s="1"/>
  <c r="O59" i="28" s="1"/>
  <c r="J59" i="28"/>
  <c r="N59" i="28"/>
  <c r="T59" i="28"/>
  <c r="W60" i="28" s="1"/>
  <c r="L59" i="28"/>
  <c r="U60" i="28"/>
  <c r="X60" i="28" l="1"/>
  <c r="AL60" i="28"/>
  <c r="AN60" i="28"/>
  <c r="AI60" i="28"/>
  <c r="AJ60" i="28"/>
  <c r="AF60" i="28"/>
  <c r="AC60" i="28"/>
  <c r="AD60" i="28"/>
  <c r="AK60" i="28"/>
  <c r="AG60" i="28"/>
  <c r="AE60" i="28"/>
  <c r="AH60" i="28"/>
  <c r="AM60" i="28"/>
  <c r="AO60" i="28"/>
  <c r="V61" i="28"/>
  <c r="AB60" i="28"/>
  <c r="K60" i="28" l="1"/>
  <c r="I60" i="28"/>
  <c r="B60" i="28"/>
  <c r="Y61" i="28" s="1"/>
  <c r="D61" i="28"/>
  <c r="AP61" i="28"/>
  <c r="AQ62" i="28" s="1"/>
  <c r="AR63" i="28" s="1"/>
  <c r="AS64" i="28" s="1"/>
  <c r="R65" i="28" s="1"/>
  <c r="Z60" i="28"/>
  <c r="M60" i="28"/>
  <c r="H60" i="28"/>
  <c r="AA60" i="28"/>
  <c r="T60" i="28" l="1"/>
  <c r="W61" i="28" s="1"/>
  <c r="L60" i="28"/>
  <c r="P60" i="28"/>
  <c r="Q60" i="28" s="1"/>
  <c r="O60" i="28" s="1"/>
  <c r="N60" i="28"/>
  <c r="J60" i="28"/>
  <c r="U61" i="28"/>
  <c r="E61" i="28"/>
  <c r="G61" i="28" s="1"/>
  <c r="S60" i="28"/>
  <c r="F61" i="28"/>
  <c r="C60" i="28"/>
  <c r="X61" i="28" l="1"/>
  <c r="V62" i="28" s="1"/>
  <c r="AB61" i="28"/>
  <c r="AC61" i="28"/>
  <c r="AL61" i="28"/>
  <c r="AG61" i="28"/>
  <c r="AI61" i="28"/>
  <c r="AK61" i="28"/>
  <c r="AJ61" i="28"/>
  <c r="AM61" i="28"/>
  <c r="AF61" i="28"/>
  <c r="AE61" i="28"/>
  <c r="AN61" i="28"/>
  <c r="AH61" i="28"/>
  <c r="AD61" i="28"/>
  <c r="AO61" i="28"/>
  <c r="AP62" i="28" l="1"/>
  <c r="AQ63" i="28" s="1"/>
  <c r="AR64" i="28" s="1"/>
  <c r="AS65" i="28" s="1"/>
  <c r="R66" i="28" s="1"/>
  <c r="D62" i="28"/>
  <c r="Z61" i="28"/>
  <c r="M61" i="28"/>
  <c r="AA61" i="28"/>
  <c r="H61" i="28"/>
  <c r="B61" i="28"/>
  <c r="Y62" i="28" s="1"/>
  <c r="I61" i="28"/>
  <c r="K61" i="28"/>
  <c r="E62" i="28" l="1"/>
  <c r="G62" i="28" s="1"/>
  <c r="C61" i="28"/>
  <c r="F62" i="28"/>
  <c r="S61" i="28"/>
  <c r="T61" i="28"/>
  <c r="W62" i="28" s="1"/>
  <c r="L61" i="28"/>
  <c r="U62" i="28"/>
  <c r="P61" i="28"/>
  <c r="Q61" i="28" s="1"/>
  <c r="O61" i="28" s="1"/>
  <c r="J61" i="28"/>
  <c r="N61" i="28"/>
  <c r="AK62" i="28" l="1"/>
  <c r="AF62" i="28"/>
  <c r="AM62" i="28"/>
  <c r="AH62" i="28"/>
  <c r="AN62" i="28"/>
  <c r="AI62" i="28"/>
  <c r="AC62" i="28"/>
  <c r="AG62" i="28"/>
  <c r="AE62" i="28"/>
  <c r="AL62" i="28"/>
  <c r="AJ62" i="28"/>
  <c r="AO62" i="28"/>
  <c r="AD62" i="28"/>
  <c r="X62" i="28"/>
  <c r="AB62" i="28"/>
  <c r="AP63" i="28" l="1"/>
  <c r="AQ64" i="28" s="1"/>
  <c r="AR65" i="28" s="1"/>
  <c r="AS66" i="28" s="1"/>
  <c r="R67" i="28" s="1"/>
  <c r="V63" i="28"/>
  <c r="I62" i="28"/>
  <c r="K62" i="28"/>
  <c r="B62" i="28"/>
  <c r="Y63" i="28" s="1"/>
  <c r="Z62" i="28"/>
  <c r="M62" i="28"/>
  <c r="AA62" i="28"/>
  <c r="H62" i="28"/>
  <c r="D63" i="28"/>
  <c r="E63" i="28" l="1"/>
  <c r="G63" i="28" s="1"/>
  <c r="C62" i="28"/>
  <c r="S62" i="28"/>
  <c r="F63" i="28"/>
  <c r="P62" i="28"/>
  <c r="Q62" i="28" s="1"/>
  <c r="J62" i="28"/>
  <c r="N62" i="28"/>
  <c r="T62" i="28"/>
  <c r="W63" i="28" s="1"/>
  <c r="L62" i="28"/>
  <c r="U63" i="28"/>
  <c r="O62" i="28" l="1"/>
  <c r="X63" i="28"/>
  <c r="AB63" i="28"/>
  <c r="AF63" i="28"/>
  <c r="AO63" i="28"/>
  <c r="AK63" i="28"/>
  <c r="AE63" i="28"/>
  <c r="AC63" i="28"/>
  <c r="AJ63" i="28"/>
  <c r="AG63" i="28"/>
  <c r="AM63" i="28"/>
  <c r="AN63" i="28"/>
  <c r="AL63" i="28"/>
  <c r="AH63" i="28"/>
  <c r="AD63" i="28"/>
  <c r="AI63" i="28"/>
  <c r="AP64" i="28" l="1"/>
  <c r="AQ65" i="28" s="1"/>
  <c r="AR66" i="28" s="1"/>
  <c r="AS67" i="28" s="1"/>
  <c r="R68" i="28" s="1"/>
  <c r="D64" i="28"/>
  <c r="Z63" i="28"/>
  <c r="M63" i="28"/>
  <c r="K63" i="28"/>
  <c r="B63" i="28"/>
  <c r="Y64" i="28" s="1"/>
  <c r="I63" i="28"/>
  <c r="AA63" i="28"/>
  <c r="H63" i="28"/>
  <c r="V64" i="28"/>
  <c r="U64" i="28" l="1"/>
  <c r="T63" i="28"/>
  <c r="W64" i="28" s="1"/>
  <c r="L63" i="28"/>
  <c r="E64" i="28"/>
  <c r="G64" i="28" s="1"/>
  <c r="C63" i="28"/>
  <c r="S63" i="28"/>
  <c r="F64" i="28"/>
  <c r="P63" i="28"/>
  <c r="Q63" i="28" s="1"/>
  <c r="J63" i="28"/>
  <c r="N63" i="28"/>
  <c r="O63" i="28" l="1"/>
  <c r="X64" i="28"/>
  <c r="V65" i="28" s="1"/>
  <c r="AB64" i="28"/>
  <c r="AF64" i="28"/>
  <c r="AN64" i="28"/>
  <c r="AJ64" i="28"/>
  <c r="AK64" i="28"/>
  <c r="AG64" i="28"/>
  <c r="AL64" i="28"/>
  <c r="AC64" i="28"/>
  <c r="AM64" i="28"/>
  <c r="AH64" i="28"/>
  <c r="AI64" i="28"/>
  <c r="AD64" i="28"/>
  <c r="AE64" i="28"/>
  <c r="AO64" i="28"/>
  <c r="AP65" i="28" l="1"/>
  <c r="AQ66" i="28" s="1"/>
  <c r="AR67" i="28" s="1"/>
  <c r="AS68" i="28" s="1"/>
  <c r="R69" i="28" s="1"/>
  <c r="D65" i="28"/>
  <c r="Z64" i="28"/>
  <c r="M64" i="28"/>
  <c r="K64" i="28"/>
  <c r="B64" i="28"/>
  <c r="Y65" i="28" s="1"/>
  <c r="I64" i="28"/>
  <c r="AA64" i="28"/>
  <c r="H64" i="28"/>
  <c r="P64" i="28" l="1"/>
  <c r="Q64" i="28" s="1"/>
  <c r="J64" i="28"/>
  <c r="N64" i="28"/>
  <c r="T64" i="28"/>
  <c r="W65" i="28" s="1"/>
  <c r="L64" i="28"/>
  <c r="U65" i="28"/>
  <c r="S64" i="28"/>
  <c r="E65" i="28"/>
  <c r="G65" i="28" s="1"/>
  <c r="C64" i="28"/>
  <c r="F65" i="28"/>
  <c r="X65" i="28" l="1"/>
  <c r="V66" i="28" s="1"/>
  <c r="O64" i="28"/>
  <c r="AG65" i="28"/>
  <c r="AK65" i="28"/>
  <c r="AF65" i="28"/>
  <c r="AI65" i="28"/>
  <c r="AO65" i="28"/>
  <c r="AD65" i="28"/>
  <c r="AN65" i="28"/>
  <c r="AL65" i="28"/>
  <c r="AJ65" i="28"/>
  <c r="AC65" i="28"/>
  <c r="AM65" i="28"/>
  <c r="AH65" i="28"/>
  <c r="AE65" i="28"/>
  <c r="AB65" i="28"/>
  <c r="D66" i="28" l="1"/>
  <c r="Z65" i="28"/>
  <c r="M65" i="28"/>
  <c r="H65" i="28"/>
  <c r="AA65" i="28"/>
  <c r="I65" i="28"/>
  <c r="B65" i="28"/>
  <c r="Y66" i="28" s="1"/>
  <c r="K65" i="28"/>
  <c r="AP66" i="28"/>
  <c r="AQ67" i="28" s="1"/>
  <c r="AR68" i="28" s="1"/>
  <c r="AS69" i="28" s="1"/>
  <c r="R70" i="28" s="1"/>
  <c r="T65" i="28" l="1"/>
  <c r="W66" i="28" s="1"/>
  <c r="L65" i="28"/>
  <c r="S65" i="28"/>
  <c r="E66" i="28"/>
  <c r="G66" i="28" s="1"/>
  <c r="C65" i="28"/>
  <c r="F66" i="28"/>
  <c r="P65" i="28"/>
  <c r="Q65" i="28" s="1"/>
  <c r="N65" i="28"/>
  <c r="J65" i="28"/>
  <c r="U66" i="28"/>
  <c r="X66" i="28" l="1"/>
  <c r="V67" i="28" s="1"/>
  <c r="O65" i="28"/>
  <c r="AB66" i="28"/>
  <c r="AG66" i="28"/>
  <c r="AF66" i="28"/>
  <c r="AH66" i="28"/>
  <c r="AI66" i="28"/>
  <c r="AK66" i="28"/>
  <c r="AL66" i="28"/>
  <c r="AJ66" i="28"/>
  <c r="AN66" i="28"/>
  <c r="AO66" i="28"/>
  <c r="AE66" i="28"/>
  <c r="AC66" i="28"/>
  <c r="AD66" i="28"/>
  <c r="AM66" i="28"/>
  <c r="AA66" i="28" l="1"/>
  <c r="H66" i="28"/>
  <c r="M66" i="28"/>
  <c r="Z66" i="28"/>
  <c r="D67" i="28"/>
  <c r="AP67" i="28"/>
  <c r="AQ68" i="28" s="1"/>
  <c r="AR69" i="28" s="1"/>
  <c r="AS70" i="28" s="1"/>
  <c r="R71" i="28" s="1"/>
  <c r="B66" i="28"/>
  <c r="Y67" i="28" s="1"/>
  <c r="I66" i="28"/>
  <c r="K66" i="28"/>
  <c r="U67" i="28" l="1"/>
  <c r="T66" i="28"/>
  <c r="W67" i="28" s="1"/>
  <c r="L66" i="28"/>
  <c r="P66" i="28"/>
  <c r="Q66" i="28" s="1"/>
  <c r="O66" i="28" s="1"/>
  <c r="J66" i="28"/>
  <c r="N66" i="28"/>
  <c r="E67" i="28"/>
  <c r="G67" i="28" s="1"/>
  <c r="S66" i="28"/>
  <c r="C66" i="28"/>
  <c r="F67" i="28"/>
  <c r="X67" i="28" l="1"/>
  <c r="V68" i="28" s="1"/>
  <c r="AB67" i="28"/>
  <c r="AD67" i="28"/>
  <c r="AH67" i="28"/>
  <c r="AL67" i="28"/>
  <c r="AI67" i="28"/>
  <c r="AO67" i="28"/>
  <c r="AE67" i="28"/>
  <c r="AF67" i="28"/>
  <c r="AJ67" i="28"/>
  <c r="AM67" i="28"/>
  <c r="AK67" i="28"/>
  <c r="AC67" i="28"/>
  <c r="AG67" i="28"/>
  <c r="AN67" i="28"/>
  <c r="AP68" i="28" l="1"/>
  <c r="AQ69" i="28" s="1"/>
  <c r="AR70" i="28" s="1"/>
  <c r="AS71" i="28" s="1"/>
  <c r="R72" i="28" s="1"/>
  <c r="AA67" i="28"/>
  <c r="H67" i="28"/>
  <c r="Z67" i="28"/>
  <c r="M67" i="28"/>
  <c r="B67" i="28"/>
  <c r="Y68" i="28" s="1"/>
  <c r="I67" i="28"/>
  <c r="K67" i="28"/>
  <c r="D68" i="28"/>
  <c r="T67" i="28" l="1"/>
  <c r="W68" i="28" s="1"/>
  <c r="L67" i="28"/>
  <c r="E68" i="28"/>
  <c r="G68" i="28" s="1"/>
  <c r="F68" i="28"/>
  <c r="S67" i="28"/>
  <c r="C67" i="28"/>
  <c r="U68" i="28"/>
  <c r="P67" i="28"/>
  <c r="Q67" i="28" s="1"/>
  <c r="O67" i="28" s="1"/>
  <c r="N67" i="28"/>
  <c r="J67" i="28"/>
  <c r="X68" i="28" l="1"/>
  <c r="V69" i="28" s="1"/>
  <c r="AM68" i="28"/>
  <c r="AO68" i="28"/>
  <c r="AC68" i="28"/>
  <c r="AI68" i="28"/>
  <c r="AL68" i="28"/>
  <c r="AN68" i="28"/>
  <c r="AG68" i="28"/>
  <c r="AH68" i="28"/>
  <c r="AK68" i="28"/>
  <c r="AE68" i="28"/>
  <c r="AF68" i="28"/>
  <c r="AJ68" i="28"/>
  <c r="AD68" i="28"/>
  <c r="AB68" i="28"/>
  <c r="AP69" i="28" l="1"/>
  <c r="AQ70" i="28" s="1"/>
  <c r="AR71" i="28" s="1"/>
  <c r="AS72" i="28" s="1"/>
  <c r="R73" i="28" s="1"/>
  <c r="I68" i="28"/>
  <c r="K68" i="28"/>
  <c r="B68" i="28"/>
  <c r="Y69" i="28" s="1"/>
  <c r="AA68" i="28"/>
  <c r="H68" i="28"/>
  <c r="D69" i="28"/>
  <c r="Z68" i="28"/>
  <c r="M68" i="28"/>
  <c r="U69" i="28" l="1"/>
  <c r="T68" i="28"/>
  <c r="W69" i="28" s="1"/>
  <c r="L68" i="28"/>
  <c r="E69" i="28"/>
  <c r="G69" i="28" s="1"/>
  <c r="F69" i="28"/>
  <c r="C68" i="28"/>
  <c r="S68" i="28"/>
  <c r="P68" i="28"/>
  <c r="Q68" i="28" s="1"/>
  <c r="N68" i="28"/>
  <c r="J68" i="28"/>
  <c r="O68" i="28" l="1"/>
  <c r="X69" i="28"/>
  <c r="V70" i="28" s="1"/>
  <c r="AB69" i="28"/>
  <c r="AD69" i="28"/>
  <c r="AH69" i="28"/>
  <c r="AJ69" i="28"/>
  <c r="AF69" i="28"/>
  <c r="AC69" i="28"/>
  <c r="AG69" i="28"/>
  <c r="AK69" i="28"/>
  <c r="AI69" i="28"/>
  <c r="AO69" i="28"/>
  <c r="AL69" i="28"/>
  <c r="AM69" i="28"/>
  <c r="AN69" i="28"/>
  <c r="AE69" i="28"/>
  <c r="AP70" i="28" l="1"/>
  <c r="AQ71" i="28" s="1"/>
  <c r="AR72" i="28" s="1"/>
  <c r="AS73" i="28" s="1"/>
  <c r="R74" i="28" s="1"/>
  <c r="AA69" i="28"/>
  <c r="H69" i="28"/>
  <c r="B69" i="28"/>
  <c r="Y70" i="28" s="1"/>
  <c r="K69" i="28"/>
  <c r="I69" i="28"/>
  <c r="D70" i="28"/>
  <c r="Z69" i="28"/>
  <c r="M69" i="28"/>
  <c r="T69" i="28" l="1"/>
  <c r="W70" i="28" s="1"/>
  <c r="L69" i="28"/>
  <c r="U70" i="28"/>
  <c r="X70" i="28" s="1"/>
  <c r="V71" i="28" s="1"/>
  <c r="P69" i="28"/>
  <c r="Q69" i="28" s="1"/>
  <c r="N69" i="28"/>
  <c r="J69" i="28"/>
  <c r="E70" i="28"/>
  <c r="G70" i="28" s="1"/>
  <c r="S69" i="28"/>
  <c r="F70" i="28"/>
  <c r="C69" i="28"/>
  <c r="AB70" i="28" l="1"/>
  <c r="AD70" i="28"/>
  <c r="AO70" i="28"/>
  <c r="AE70" i="28"/>
  <c r="AC70" i="28"/>
  <c r="AL70" i="28"/>
  <c r="AH70" i="28"/>
  <c r="AK70" i="28"/>
  <c r="AI70" i="28"/>
  <c r="AJ70" i="28"/>
  <c r="AF70" i="28"/>
  <c r="AM70" i="28"/>
  <c r="AG70" i="28"/>
  <c r="AN70" i="28"/>
  <c r="AP71" i="28" s="1"/>
  <c r="AQ72" i="28" s="1"/>
  <c r="AR73" i="28" s="1"/>
  <c r="AS74" i="28" s="1"/>
  <c r="R75" i="28" s="1"/>
  <c r="O69" i="28"/>
  <c r="AA70" i="28" l="1"/>
  <c r="H70" i="28"/>
  <c r="D71" i="28"/>
  <c r="Z70" i="28"/>
  <c r="M70" i="28"/>
  <c r="B70" i="28"/>
  <c r="Y71" i="28" s="1"/>
  <c r="K70" i="28"/>
  <c r="I70" i="28"/>
  <c r="P70" i="28" l="1"/>
  <c r="Q70" i="28" s="1"/>
  <c r="N70" i="28"/>
  <c r="J70" i="28"/>
  <c r="U71" i="28"/>
  <c r="O70" i="28"/>
  <c r="E71" i="28"/>
  <c r="G71" i="28" s="1"/>
  <c r="C70" i="28"/>
  <c r="S70" i="28"/>
  <c r="F71" i="28"/>
  <c r="T70" i="28"/>
  <c r="W71" i="28" s="1"/>
  <c r="L70" i="28"/>
  <c r="X71" i="28" l="1"/>
  <c r="AB71" i="28"/>
  <c r="AD71" i="28"/>
  <c r="AM71" i="28"/>
  <c r="AN71" i="28"/>
  <c r="AL71" i="28"/>
  <c r="AF71" i="28"/>
  <c r="AE71" i="28"/>
  <c r="AG71" i="28"/>
  <c r="AC71" i="28"/>
  <c r="AJ71" i="28"/>
  <c r="AH71" i="28"/>
  <c r="AK71" i="28"/>
  <c r="AI71" i="28"/>
  <c r="AO71" i="28"/>
  <c r="V72" i="28"/>
  <c r="Z71" i="28" l="1"/>
  <c r="M71" i="28"/>
  <c r="K71" i="28"/>
  <c r="B71" i="28"/>
  <c r="Y72" i="28" s="1"/>
  <c r="I71" i="28"/>
  <c r="D72" i="28"/>
  <c r="AP72" i="28"/>
  <c r="AQ73" i="28" s="1"/>
  <c r="AR74" i="28" s="1"/>
  <c r="AS75" i="28" s="1"/>
  <c r="R76" i="28" s="1"/>
  <c r="AA71" i="28"/>
  <c r="U72" i="28" s="1"/>
  <c r="H71" i="28"/>
  <c r="P71" i="28" l="1"/>
  <c r="Q71" i="28" s="1"/>
  <c r="J71" i="28"/>
  <c r="N71" i="28"/>
  <c r="T71" i="28"/>
  <c r="W72" i="28" s="1"/>
  <c r="X72" i="28" s="1"/>
  <c r="L71" i="28"/>
  <c r="E72" i="28"/>
  <c r="G72" i="28" s="1"/>
  <c r="S71" i="28"/>
  <c r="C71" i="28"/>
  <c r="F72" i="28"/>
  <c r="V73" i="28" l="1"/>
  <c r="AB72" i="28"/>
  <c r="AK72" i="28"/>
  <c r="AC72" i="28"/>
  <c r="AF72" i="28"/>
  <c r="AE72" i="28"/>
  <c r="AH72" i="28"/>
  <c r="AD72" i="28"/>
  <c r="AN72" i="28"/>
  <c r="AO72" i="28"/>
  <c r="AM72" i="28"/>
  <c r="AG72" i="28"/>
  <c r="AI72" i="28"/>
  <c r="AJ72" i="28"/>
  <c r="AL72" i="28"/>
  <c r="O71" i="28"/>
  <c r="D73" i="28" l="1"/>
  <c r="B72" i="28"/>
  <c r="Y73" i="28" s="1"/>
  <c r="I72" i="28"/>
  <c r="K72" i="28"/>
  <c r="Z72" i="28"/>
  <c r="M72" i="28"/>
  <c r="H72" i="28"/>
  <c r="AA72" i="28"/>
  <c r="AP73" i="28"/>
  <c r="AQ74" i="28" s="1"/>
  <c r="AR75" i="28" s="1"/>
  <c r="AS76" i="28" s="1"/>
  <c r="R77" i="28" s="1"/>
  <c r="S72" i="28" l="1"/>
  <c r="E73" i="28"/>
  <c r="G73" i="28" s="1"/>
  <c r="C72" i="28"/>
  <c r="F73" i="28"/>
  <c r="U73" i="28"/>
  <c r="T72" i="28"/>
  <c r="W73" i="28" s="1"/>
  <c r="L72" i="28"/>
  <c r="P72" i="28"/>
  <c r="Q72" i="28" s="1"/>
  <c r="N72" i="28"/>
  <c r="J72" i="28"/>
  <c r="O72" i="28" l="1"/>
  <c r="AL73" i="28"/>
  <c r="AG73" i="28"/>
  <c r="AC73" i="28"/>
  <c r="AF73" i="28"/>
  <c r="AJ73" i="28"/>
  <c r="AK73" i="28"/>
  <c r="AM73" i="28"/>
  <c r="AD73" i="28"/>
  <c r="AH73" i="28"/>
  <c r="AE73" i="28"/>
  <c r="AN73" i="28"/>
  <c r="AI73" i="28"/>
  <c r="AO73" i="28"/>
  <c r="X73" i="28"/>
  <c r="V74" i="28" s="1"/>
  <c r="AB73" i="28"/>
  <c r="I73" i="28" l="1"/>
  <c r="B73" i="28"/>
  <c r="Y74" i="28" s="1"/>
  <c r="K73" i="28"/>
  <c r="M73" i="28"/>
  <c r="Z73" i="28"/>
  <c r="D74" i="28"/>
  <c r="AA73" i="28"/>
  <c r="H73" i="28"/>
  <c r="AP74" i="28"/>
  <c r="AQ75" i="28" s="1"/>
  <c r="AR76" i="28" s="1"/>
  <c r="AS77" i="28" s="1"/>
  <c r="R78" i="28" s="1"/>
  <c r="P73" i="28" l="1"/>
  <c r="Q73" i="28" s="1"/>
  <c r="J73" i="28"/>
  <c r="N73" i="28"/>
  <c r="U74" i="28"/>
  <c r="E74" i="28"/>
  <c r="G74" i="28" s="1"/>
  <c r="C73" i="28"/>
  <c r="S73" i="28"/>
  <c r="F74" i="28"/>
  <c r="T73" i="28"/>
  <c r="W74" i="28" s="1"/>
  <c r="L73" i="28"/>
  <c r="O73" i="28" l="1"/>
  <c r="AF74" i="28"/>
  <c r="AE74" i="28"/>
  <c r="AM74" i="28"/>
  <c r="AK74" i="28"/>
  <c r="AC74" i="28"/>
  <c r="AH74" i="28"/>
  <c r="AG74" i="28"/>
  <c r="AJ74" i="28"/>
  <c r="AI74" i="28"/>
  <c r="AD74" i="28"/>
  <c r="AO74" i="28"/>
  <c r="AL74" i="28"/>
  <c r="AN74" i="28"/>
  <c r="AB74" i="28"/>
  <c r="X74" i="28"/>
  <c r="AP75" i="28" l="1"/>
  <c r="AQ76" i="28" s="1"/>
  <c r="AR77" i="28" s="1"/>
  <c r="AS78" i="28" s="1"/>
  <c r="R79" i="28" s="1"/>
  <c r="H74" i="28"/>
  <c r="AA74" i="28"/>
  <c r="D75" i="28"/>
  <c r="V75" i="28"/>
  <c r="K74" i="28"/>
  <c r="B74" i="28"/>
  <c r="Y75" i="28" s="1"/>
  <c r="I74" i="28"/>
  <c r="M74" i="28"/>
  <c r="Z74" i="28"/>
  <c r="E75" i="28" l="1"/>
  <c r="G75" i="28" s="1"/>
  <c r="C74" i="28"/>
  <c r="S74" i="28"/>
  <c r="F75" i="28"/>
  <c r="P74" i="28"/>
  <c r="Q74" i="28" s="1"/>
  <c r="N74" i="28"/>
  <c r="J74" i="28"/>
  <c r="U75" i="28"/>
  <c r="T74" i="28"/>
  <c r="W75" i="28" s="1"/>
  <c r="L74" i="28"/>
  <c r="O74" i="28" l="1"/>
  <c r="X75" i="28"/>
  <c r="AI75" i="28"/>
  <c r="AE75" i="28"/>
  <c r="AM75" i="28"/>
  <c r="AC75" i="28"/>
  <c r="AF75" i="28"/>
  <c r="AL75" i="28"/>
  <c r="AK75" i="28"/>
  <c r="AH75" i="28"/>
  <c r="AN75" i="28"/>
  <c r="AD75" i="28"/>
  <c r="AG75" i="28"/>
  <c r="AJ75" i="28"/>
  <c r="AO75" i="28"/>
  <c r="AB75" i="28"/>
  <c r="Z75" i="28" l="1"/>
  <c r="M75" i="28"/>
  <c r="H75" i="28"/>
  <c r="AA75" i="28"/>
  <c r="U76" i="28" s="1"/>
  <c r="B75" i="28"/>
  <c r="Y76" i="28" s="1"/>
  <c r="K75" i="28"/>
  <c r="I75" i="28"/>
  <c r="D76" i="28"/>
  <c r="V76" i="28"/>
  <c r="AP76" i="28"/>
  <c r="AQ77" i="28" s="1"/>
  <c r="AR78" i="28" s="1"/>
  <c r="AS79" i="28" s="1"/>
  <c r="R80" i="28" s="1"/>
  <c r="P75" i="28" l="1"/>
  <c r="Q75" i="28" s="1"/>
  <c r="O75" i="28" s="1"/>
  <c r="N75" i="28"/>
  <c r="J75" i="28"/>
  <c r="T75" i="28"/>
  <c r="W76" i="28" s="1"/>
  <c r="X76" i="28" s="1"/>
  <c r="V77" i="28" s="1"/>
  <c r="L75" i="28"/>
  <c r="E76" i="28"/>
  <c r="G76" i="28" s="1"/>
  <c r="S75" i="28"/>
  <c r="F76" i="28"/>
  <c r="C75" i="28"/>
  <c r="AB76" i="28" l="1"/>
  <c r="AH76" i="28"/>
  <c r="AK76" i="28"/>
  <c r="AJ76" i="28"/>
  <c r="AO76" i="28"/>
  <c r="AD76" i="28"/>
  <c r="AN76" i="28"/>
  <c r="AI76" i="28"/>
  <c r="AC76" i="28"/>
  <c r="AE76" i="28"/>
  <c r="AF76" i="28"/>
  <c r="AM76" i="28"/>
  <c r="AL76" i="28"/>
  <c r="AG76" i="28"/>
  <c r="AP77" i="28" l="1"/>
  <c r="AQ78" i="28" s="1"/>
  <c r="AR79" i="28" s="1"/>
  <c r="AS80" i="28" s="1"/>
  <c r="R81" i="28" s="1"/>
  <c r="H76" i="28"/>
  <c r="AA76" i="28"/>
  <c r="D77" i="28"/>
  <c r="K76" i="28"/>
  <c r="B76" i="28"/>
  <c r="Y77" i="28" s="1"/>
  <c r="I76" i="28"/>
  <c r="M76" i="28"/>
  <c r="Z76" i="28"/>
  <c r="E77" i="28" l="1"/>
  <c r="G77" i="28" s="1"/>
  <c r="F77" i="28"/>
  <c r="C76" i="28"/>
  <c r="S76" i="28"/>
  <c r="P76" i="28"/>
  <c r="Q76" i="28" s="1"/>
  <c r="N76" i="28"/>
  <c r="J76" i="28"/>
  <c r="U77" i="28"/>
  <c r="T76" i="28"/>
  <c r="W77" i="28" s="1"/>
  <c r="L76" i="28"/>
  <c r="O76" i="28" l="1"/>
  <c r="AF77" i="28"/>
  <c r="AE77" i="28"/>
  <c r="AH77" i="28"/>
  <c r="AC77" i="28"/>
  <c r="AM77" i="28"/>
  <c r="AN77" i="28"/>
  <c r="AI77" i="28"/>
  <c r="AD77" i="28"/>
  <c r="AJ77" i="28"/>
  <c r="AK77" i="28"/>
  <c r="AL77" i="28"/>
  <c r="AO77" i="28"/>
  <c r="AG77" i="28"/>
  <c r="X77" i="28"/>
  <c r="V78" i="28" s="1"/>
  <c r="AB77" i="28"/>
  <c r="AP78" i="28" l="1"/>
  <c r="AQ79" i="28" s="1"/>
  <c r="AR80" i="28" s="1"/>
  <c r="AS81" i="28" s="1"/>
  <c r="R82" i="28" s="1"/>
  <c r="AA77" i="28"/>
  <c r="H77" i="28"/>
  <c r="Z77" i="28"/>
  <c r="M77" i="28"/>
  <c r="D78" i="28"/>
  <c r="I77" i="28"/>
  <c r="K77" i="28"/>
  <c r="B77" i="28"/>
  <c r="Y78" i="28" s="1"/>
  <c r="U78" i="28" l="1"/>
  <c r="T77" i="28"/>
  <c r="W78" i="28" s="1"/>
  <c r="L77" i="28"/>
  <c r="E78" i="28"/>
  <c r="G78" i="28" s="1"/>
  <c r="S77" i="28"/>
  <c r="F78" i="28"/>
  <c r="C77" i="28"/>
  <c r="P77" i="28"/>
  <c r="Q77" i="28" s="1"/>
  <c r="J77" i="28"/>
  <c r="N77" i="28"/>
  <c r="O77" i="28" l="1"/>
  <c r="X78" i="28"/>
  <c r="V79" i="28" s="1"/>
  <c r="AK78" i="28"/>
  <c r="AH78" i="28"/>
  <c r="AC78" i="28"/>
  <c r="AJ78" i="28"/>
  <c r="AF78" i="28"/>
  <c r="AD78" i="28"/>
  <c r="AM78" i="28"/>
  <c r="AL78" i="28"/>
  <c r="AI78" i="28"/>
  <c r="AO78" i="28"/>
  <c r="AN78" i="28"/>
  <c r="AE78" i="28"/>
  <c r="AG78" i="28"/>
  <c r="AB78" i="28"/>
  <c r="AP79" i="28" l="1"/>
  <c r="AQ80" i="28" s="1"/>
  <c r="AR81" i="28" s="1"/>
  <c r="AS82" i="28" s="1"/>
  <c r="R83" i="28" s="1"/>
  <c r="D79" i="28"/>
  <c r="Z78" i="28"/>
  <c r="M78" i="28"/>
  <c r="K78" i="28"/>
  <c r="B78" i="28"/>
  <c r="Y79" i="28" s="1"/>
  <c r="I78" i="28"/>
  <c r="AA78" i="28"/>
  <c r="H78" i="28"/>
  <c r="U79" i="28" l="1"/>
  <c r="E79" i="28"/>
  <c r="G79" i="28" s="1"/>
  <c r="F79" i="28"/>
  <c r="C78" i="28"/>
  <c r="S78" i="28"/>
  <c r="T78" i="28"/>
  <c r="W79" i="28" s="1"/>
  <c r="L78" i="28"/>
  <c r="P78" i="28"/>
  <c r="Q78" i="28" s="1"/>
  <c r="J78" i="28"/>
  <c r="N78" i="28"/>
  <c r="O78" i="28" l="1"/>
  <c r="AB79" i="28"/>
  <c r="AF79" i="28"/>
  <c r="AC79" i="28"/>
  <c r="AO79" i="28"/>
  <c r="AD79" i="28"/>
  <c r="AI79" i="28"/>
  <c r="AM79" i="28"/>
  <c r="AL79" i="28"/>
  <c r="AN79" i="28"/>
  <c r="AK79" i="28"/>
  <c r="AG79" i="28"/>
  <c r="AE79" i="28"/>
  <c r="AH79" i="28"/>
  <c r="AJ79" i="28"/>
  <c r="X79" i="28"/>
  <c r="D80" i="28" l="1"/>
  <c r="Z79" i="28"/>
  <c r="M79" i="28"/>
  <c r="V80" i="28"/>
  <c r="AA79" i="28"/>
  <c r="U80" i="28" s="1"/>
  <c r="H79" i="28"/>
  <c r="AP80" i="28"/>
  <c r="AQ81" i="28" s="1"/>
  <c r="AR82" i="28" s="1"/>
  <c r="AS83" i="28" s="1"/>
  <c r="R84" i="28" s="1"/>
  <c r="K79" i="28"/>
  <c r="I79" i="28"/>
  <c r="B79" i="28"/>
  <c r="Y80" i="28" s="1"/>
  <c r="P79" i="28" l="1"/>
  <c r="Q79" i="28" s="1"/>
  <c r="J79" i="28"/>
  <c r="N79" i="28"/>
  <c r="F80" i="28"/>
  <c r="S79" i="28"/>
  <c r="C79" i="28"/>
  <c r="E80" i="28"/>
  <c r="G80" i="28" s="1"/>
  <c r="T79" i="28"/>
  <c r="W80" i="28" s="1"/>
  <c r="X80" i="28" s="1"/>
  <c r="L79" i="28"/>
  <c r="O79" i="28" l="1"/>
  <c r="V81" i="28"/>
  <c r="AK80" i="28"/>
  <c r="AM80" i="28"/>
  <c r="AG80" i="28"/>
  <c r="AH80" i="28"/>
  <c r="AO80" i="28"/>
  <c r="AJ80" i="28"/>
  <c r="AN80" i="28"/>
  <c r="AD80" i="28"/>
  <c r="AC80" i="28"/>
  <c r="AI80" i="28"/>
  <c r="AL80" i="28"/>
  <c r="AE80" i="28"/>
  <c r="AF80" i="28"/>
  <c r="AB80" i="28"/>
  <c r="M80" i="28" l="1"/>
  <c r="Z80" i="28"/>
  <c r="K80" i="28"/>
  <c r="I80" i="28"/>
  <c r="B80" i="28"/>
  <c r="Y81" i="28" s="1"/>
  <c r="D81" i="28"/>
  <c r="AA80" i="28"/>
  <c r="U81" i="28" s="1"/>
  <c r="H80" i="28"/>
  <c r="AP81" i="28"/>
  <c r="AQ82" i="28" s="1"/>
  <c r="AR83" i="28" s="1"/>
  <c r="AS84" i="28" s="1"/>
  <c r="R85" i="28" s="1"/>
  <c r="P80" i="28" l="1"/>
  <c r="Q80" i="28" s="1"/>
  <c r="N80" i="28"/>
  <c r="J80" i="28"/>
  <c r="S80" i="28"/>
  <c r="O80" i="28"/>
  <c r="E81" i="28"/>
  <c r="G81" i="28" s="1"/>
  <c r="C80" i="28"/>
  <c r="F81" i="28"/>
  <c r="T80" i="28"/>
  <c r="W81" i="28" s="1"/>
  <c r="X81" i="28" s="1"/>
  <c r="L80" i="28"/>
  <c r="V82" i="28" l="1"/>
  <c r="AB81" i="28"/>
  <c r="AL81" i="28"/>
  <c r="AC81" i="28"/>
  <c r="AO81" i="28"/>
  <c r="AD81" i="28"/>
  <c r="AK81" i="28"/>
  <c r="AH81" i="28"/>
  <c r="AN81" i="28"/>
  <c r="AJ81" i="28"/>
  <c r="AG81" i="28"/>
  <c r="AE81" i="28"/>
  <c r="AM81" i="28"/>
  <c r="AI81" i="28"/>
  <c r="AF81" i="28"/>
  <c r="AA81" i="28" l="1"/>
  <c r="H81" i="28"/>
  <c r="D82" i="28"/>
  <c r="K81" i="28"/>
  <c r="I81" i="28"/>
  <c r="B81" i="28"/>
  <c r="Y82" i="28" s="1"/>
  <c r="AP82" i="28"/>
  <c r="AQ83" i="28" s="1"/>
  <c r="AR84" i="28" s="1"/>
  <c r="AS85" i="28" s="1"/>
  <c r="R86" i="28" s="1"/>
  <c r="M81" i="28"/>
  <c r="Z81" i="28"/>
  <c r="T81" i="28" l="1"/>
  <c r="W82" i="28" s="1"/>
  <c r="L81" i="28"/>
  <c r="P81" i="28"/>
  <c r="Q81" i="28" s="1"/>
  <c r="N81" i="28"/>
  <c r="J81" i="28"/>
  <c r="U82" i="28"/>
  <c r="X82" i="28" s="1"/>
  <c r="E82" i="28"/>
  <c r="G82" i="28" s="1"/>
  <c r="F82" i="28"/>
  <c r="S81" i="28"/>
  <c r="C81" i="28"/>
  <c r="O81" i="28" l="1"/>
  <c r="V83" i="28"/>
  <c r="AI82" i="28"/>
  <c r="AC82" i="28"/>
  <c r="AL82" i="28"/>
  <c r="AH82" i="28"/>
  <c r="AN82" i="28"/>
  <c r="AP83" i="28" s="1"/>
  <c r="AQ84" i="28" s="1"/>
  <c r="AR85" i="28" s="1"/>
  <c r="AS86" i="28" s="1"/>
  <c r="R87" i="28" s="1"/>
  <c r="AJ82" i="28"/>
  <c r="AE82" i="28"/>
  <c r="AM82" i="28"/>
  <c r="AO82" i="28"/>
  <c r="AG82" i="28"/>
  <c r="AK82" i="28"/>
  <c r="AF82" i="28"/>
  <c r="AD82" i="28"/>
  <c r="AB82" i="28"/>
  <c r="Z82" i="28" l="1"/>
  <c r="M82" i="28"/>
  <c r="H82" i="28"/>
  <c r="AA82" i="28"/>
  <c r="D83" i="28"/>
  <c r="K82" i="28"/>
  <c r="I82" i="28"/>
  <c r="B82" i="28"/>
  <c r="Y83" i="28" s="1"/>
  <c r="E83" i="28" l="1"/>
  <c r="G83" i="28" s="1"/>
  <c r="F83" i="28"/>
  <c r="C82" i="28"/>
  <c r="S82" i="28"/>
  <c r="U83" i="28"/>
  <c r="T82" i="28"/>
  <c r="W83" i="28" s="1"/>
  <c r="L82" i="28"/>
  <c r="P82" i="28"/>
  <c r="Q82" i="28" s="1"/>
  <c r="O82" i="28" s="1"/>
  <c r="N82" i="28"/>
  <c r="J82" i="28"/>
  <c r="AN83" i="28" l="1"/>
  <c r="AI83" i="28"/>
  <c r="AE83" i="28"/>
  <c r="AF83" i="28"/>
  <c r="AL83" i="28"/>
  <c r="AK83" i="28"/>
  <c r="AJ83" i="28"/>
  <c r="AC83" i="28"/>
  <c r="AD83" i="28"/>
  <c r="AM83" i="28"/>
  <c r="AG83" i="28"/>
  <c r="AO83" i="28"/>
  <c r="AH83" i="28"/>
  <c r="X83" i="28"/>
  <c r="AB83" i="28"/>
  <c r="I83" i="28" l="1"/>
  <c r="K83" i="28"/>
  <c r="B83" i="28"/>
  <c r="Y84" i="28" s="1"/>
  <c r="D84" i="28"/>
  <c r="V84" i="28"/>
  <c r="Z83" i="28"/>
  <c r="M83" i="28"/>
  <c r="H83" i="28"/>
  <c r="AA83" i="28"/>
  <c r="AP84" i="28"/>
  <c r="AQ85" i="28" s="1"/>
  <c r="AR86" i="28" s="1"/>
  <c r="AS87" i="28" s="1"/>
  <c r="R88" i="28" s="1"/>
  <c r="U84" i="28" l="1"/>
  <c r="P83" i="28"/>
  <c r="Q83" i="28" s="1"/>
  <c r="O83" i="28" s="1"/>
  <c r="J83" i="28"/>
  <c r="N83" i="28"/>
  <c r="T83" i="28"/>
  <c r="W84" i="28" s="1"/>
  <c r="X84" i="28" s="1"/>
  <c r="L83" i="28"/>
  <c r="E84" i="28"/>
  <c r="G84" i="28" s="1"/>
  <c r="F84" i="28"/>
  <c r="S83" i="28"/>
  <c r="C83" i="28"/>
  <c r="V85" i="28" l="1"/>
  <c r="AD84" i="28"/>
  <c r="AG84" i="28"/>
  <c r="AI84" i="28"/>
  <c r="AF84" i="28"/>
  <c r="AE84" i="28"/>
  <c r="AK84" i="28"/>
  <c r="AH84" i="28"/>
  <c r="AM84" i="28"/>
  <c r="AL84" i="28"/>
  <c r="AN84" i="28"/>
  <c r="AJ84" i="28"/>
  <c r="AC84" i="28"/>
  <c r="AO84" i="28"/>
  <c r="AB84" i="28"/>
  <c r="Z84" i="28" l="1"/>
  <c r="M84" i="28"/>
  <c r="AA84" i="28"/>
  <c r="H84" i="28"/>
  <c r="D85" i="28"/>
  <c r="AP85" i="28"/>
  <c r="AQ86" i="28" s="1"/>
  <c r="AR87" i="28" s="1"/>
  <c r="AS88" i="28" s="1"/>
  <c r="R89" i="28" s="1"/>
  <c r="K84" i="28"/>
  <c r="I84" i="28"/>
  <c r="B84" i="28"/>
  <c r="Y85" i="28" s="1"/>
  <c r="S84" i="28" l="1"/>
  <c r="E85" i="28"/>
  <c r="G85" i="28" s="1"/>
  <c r="F85" i="28"/>
  <c r="C84" i="28"/>
  <c r="P84" i="28"/>
  <c r="Q84" i="28" s="1"/>
  <c r="J84" i="28"/>
  <c r="N84" i="28"/>
  <c r="T84" i="28"/>
  <c r="W85" i="28" s="1"/>
  <c r="L84" i="28"/>
  <c r="U85" i="28"/>
  <c r="X85" i="28" l="1"/>
  <c r="O84" i="28"/>
  <c r="V86" i="28"/>
  <c r="AB85" i="28"/>
  <c r="AD85" i="28"/>
  <c r="AI85" i="28"/>
  <c r="AO85" i="28"/>
  <c r="AG85" i="28"/>
  <c r="AC85" i="28"/>
  <c r="AF85" i="28"/>
  <c r="AJ85" i="28"/>
  <c r="AE85" i="28"/>
  <c r="AM85" i="28"/>
  <c r="AH85" i="28"/>
  <c r="AL85" i="28"/>
  <c r="AK85" i="28"/>
  <c r="AN85" i="28"/>
  <c r="D86" i="28" l="1"/>
  <c r="K85" i="28"/>
  <c r="B85" i="28"/>
  <c r="Y86" i="28" s="1"/>
  <c r="I85" i="28"/>
  <c r="Z85" i="28"/>
  <c r="M85" i="28"/>
  <c r="AP86" i="28"/>
  <c r="AQ87" i="28" s="1"/>
  <c r="AR88" i="28" s="1"/>
  <c r="AS89" i="28" s="1"/>
  <c r="R90" i="28" s="1"/>
  <c r="H85" i="28"/>
  <c r="AA85" i="28"/>
  <c r="U86" i="28" l="1"/>
  <c r="T85" i="28"/>
  <c r="W86" i="28" s="1"/>
  <c r="L85" i="28"/>
  <c r="P85" i="28"/>
  <c r="Q85" i="28" s="1"/>
  <c r="N85" i="28"/>
  <c r="J85" i="28"/>
  <c r="E86" i="28"/>
  <c r="G86" i="28" s="1"/>
  <c r="F86" i="28"/>
  <c r="C85" i="28"/>
  <c r="S85" i="28"/>
  <c r="X86" i="28" l="1"/>
  <c r="V87" i="28"/>
  <c r="AJ86" i="28"/>
  <c r="AL86" i="28"/>
  <c r="AI86" i="28"/>
  <c r="AO86" i="28"/>
  <c r="AC86" i="28"/>
  <c r="AN86" i="28"/>
  <c r="AD86" i="28"/>
  <c r="AF86" i="28"/>
  <c r="AK86" i="28"/>
  <c r="AH86" i="28"/>
  <c r="AM86" i="28"/>
  <c r="AG86" i="28"/>
  <c r="AE86" i="28"/>
  <c r="AB86" i="28"/>
  <c r="O85" i="28"/>
  <c r="AP87" i="28" l="1"/>
  <c r="AQ88" i="28" s="1"/>
  <c r="AR89" i="28" s="1"/>
  <c r="AS90" i="28" s="1"/>
  <c r="R91" i="28" s="1"/>
  <c r="D87" i="28"/>
  <c r="AA86" i="28"/>
  <c r="H86" i="28"/>
  <c r="M86" i="28"/>
  <c r="Z86" i="28"/>
  <c r="B86" i="28"/>
  <c r="Y87" i="28" s="1"/>
  <c r="I86" i="28"/>
  <c r="K86" i="28"/>
  <c r="T86" i="28" l="1"/>
  <c r="W87" i="28" s="1"/>
  <c r="L86" i="28"/>
  <c r="U87" i="28"/>
  <c r="X87" i="28" s="1"/>
  <c r="P86" i="28"/>
  <c r="Q86" i="28" s="1"/>
  <c r="O86" i="28" s="1"/>
  <c r="J86" i="28"/>
  <c r="N86" i="28"/>
  <c r="E87" i="28"/>
  <c r="G87" i="28" s="1"/>
  <c r="F87" i="28"/>
  <c r="C86" i="28"/>
  <c r="S86" i="28"/>
  <c r="V88" i="28" l="1"/>
  <c r="AG87" i="28"/>
  <c r="AD87" i="28"/>
  <c r="AF87" i="28"/>
  <c r="AE87" i="28"/>
  <c r="AL87" i="28"/>
  <c r="AM87" i="28"/>
  <c r="AH87" i="28"/>
  <c r="AK87" i="28"/>
  <c r="AO87" i="28"/>
  <c r="AJ87" i="28"/>
  <c r="AI87" i="28"/>
  <c r="AC87" i="28"/>
  <c r="AN87" i="28"/>
  <c r="AP88" i="28" s="1"/>
  <c r="AQ89" i="28" s="1"/>
  <c r="AR90" i="28" s="1"/>
  <c r="AS91" i="28" s="1"/>
  <c r="R92" i="28" s="1"/>
  <c r="AB87" i="28"/>
  <c r="D88" i="28" l="1"/>
  <c r="AA87" i="28"/>
  <c r="H87" i="28"/>
  <c r="Z87" i="28"/>
  <c r="M87" i="28"/>
  <c r="K87" i="28"/>
  <c r="B87" i="28"/>
  <c r="Y88" i="28" s="1"/>
  <c r="I87" i="28"/>
  <c r="U88" i="28" l="1"/>
  <c r="T87" i="28"/>
  <c r="W88" i="28" s="1"/>
  <c r="L87" i="28"/>
  <c r="P87" i="28"/>
  <c r="Q87" i="28" s="1"/>
  <c r="N87" i="28"/>
  <c r="J87" i="28"/>
  <c r="X88" i="28"/>
  <c r="F88" i="28"/>
  <c r="S87" i="28"/>
  <c r="E88" i="28"/>
  <c r="G88" i="28" s="1"/>
  <c r="C87" i="28"/>
  <c r="O87" i="28" l="1"/>
  <c r="V89" i="28"/>
  <c r="AG88" i="28"/>
  <c r="AE88" i="28"/>
  <c r="AC88" i="28"/>
  <c r="AD88" i="28"/>
  <c r="AJ88" i="28"/>
  <c r="AK88" i="28"/>
  <c r="AN88" i="28"/>
  <c r="AO88" i="28"/>
  <c r="AF88" i="28"/>
  <c r="AH88" i="28"/>
  <c r="AI88" i="28"/>
  <c r="AL88" i="28"/>
  <c r="AM88" i="28"/>
  <c r="AB88" i="28"/>
  <c r="I88" i="28" l="1"/>
  <c r="K88" i="28"/>
  <c r="B88" i="28"/>
  <c r="Y89" i="28" s="1"/>
  <c r="AA88" i="28"/>
  <c r="H88" i="28"/>
  <c r="D89" i="28"/>
  <c r="Z88" i="28"/>
  <c r="M88" i="28"/>
  <c r="AP89" i="28"/>
  <c r="AQ90" i="28" s="1"/>
  <c r="AR91" i="28" s="1"/>
  <c r="AS92" i="28" s="1"/>
  <c r="R93" i="28" s="1"/>
  <c r="E89" i="28" l="1"/>
  <c r="G89" i="28" s="1"/>
  <c r="C88" i="28"/>
  <c r="S88" i="28"/>
  <c r="F89" i="28"/>
  <c r="P88" i="28"/>
  <c r="Q88" i="28" s="1"/>
  <c r="N88" i="28"/>
  <c r="J88" i="28"/>
  <c r="T88" i="28"/>
  <c r="W89" i="28" s="1"/>
  <c r="L88" i="28"/>
  <c r="U89" i="28"/>
  <c r="X89" i="28" l="1"/>
  <c r="O88" i="28"/>
  <c r="AB89" i="28"/>
  <c r="V90" i="28"/>
  <c r="AO89" i="28"/>
  <c r="AI89" i="28"/>
  <c r="AG89" i="28"/>
  <c r="AH89" i="28"/>
  <c r="AM89" i="28"/>
  <c r="AJ89" i="28"/>
  <c r="AE89" i="28"/>
  <c r="AN89" i="28"/>
  <c r="AF89" i="28"/>
  <c r="AK89" i="28"/>
  <c r="AC89" i="28"/>
  <c r="AL89" i="28"/>
  <c r="AD89" i="28"/>
  <c r="AP90" i="28" l="1"/>
  <c r="AQ91" i="28" s="1"/>
  <c r="AR92" i="28" s="1"/>
  <c r="AS93" i="28" s="1"/>
  <c r="R94" i="28" s="1"/>
  <c r="AA89" i="28"/>
  <c r="H89" i="28"/>
  <c r="K89" i="28"/>
  <c r="I89" i="28"/>
  <c r="B89" i="28"/>
  <c r="Y90" i="28" s="1"/>
  <c r="Z89" i="28"/>
  <c r="M89" i="28"/>
  <c r="D90" i="28"/>
  <c r="T89" i="28" l="1"/>
  <c r="W90" i="28" s="1"/>
  <c r="L89" i="28"/>
  <c r="P89" i="28"/>
  <c r="Q89" i="28" s="1"/>
  <c r="O89" i="28" s="1"/>
  <c r="J89" i="28"/>
  <c r="N89" i="28"/>
  <c r="U90" i="28"/>
  <c r="E90" i="28"/>
  <c r="G90" i="28" s="1"/>
  <c r="F90" i="28"/>
  <c r="C89" i="28"/>
  <c r="S89" i="28"/>
  <c r="X90" i="28" l="1"/>
  <c r="V91" i="28" s="1"/>
  <c r="AI90" i="28"/>
  <c r="AG90" i="28"/>
  <c r="AN90" i="28"/>
  <c r="AM90" i="28"/>
  <c r="AE90" i="28"/>
  <c r="AC90" i="28"/>
  <c r="AF90" i="28"/>
  <c r="AL90" i="28"/>
  <c r="AH90" i="28"/>
  <c r="AK90" i="28"/>
  <c r="AD90" i="28"/>
  <c r="AJ90" i="28"/>
  <c r="AO90" i="28"/>
  <c r="AB90" i="28"/>
  <c r="AP91" i="28" l="1"/>
  <c r="AQ92" i="28" s="1"/>
  <c r="AR93" i="28" s="1"/>
  <c r="AS94" i="28" s="1"/>
  <c r="R95" i="28" s="1"/>
  <c r="K90" i="28"/>
  <c r="I90" i="28"/>
  <c r="B90" i="28"/>
  <c r="Y91" i="28" s="1"/>
  <c r="D91" i="28"/>
  <c r="H90" i="28"/>
  <c r="AA90" i="28"/>
  <c r="Z90" i="28"/>
  <c r="M90" i="28"/>
  <c r="U91" i="28" l="1"/>
  <c r="T90" i="28"/>
  <c r="W91" i="28" s="1"/>
  <c r="L90" i="28"/>
  <c r="E91" i="28"/>
  <c r="G91" i="28" s="1"/>
  <c r="C90" i="28"/>
  <c r="S90" i="28"/>
  <c r="F91" i="28"/>
  <c r="P90" i="28"/>
  <c r="Q90" i="28" s="1"/>
  <c r="O90" i="28" s="1"/>
  <c r="J90" i="28"/>
  <c r="N90" i="28"/>
  <c r="X91" i="28" l="1"/>
  <c r="V92" i="28" s="1"/>
  <c r="AK91" i="28"/>
  <c r="AM91" i="28"/>
  <c r="AJ91" i="28"/>
  <c r="AO91" i="28"/>
  <c r="AH91" i="28"/>
  <c r="AI91" i="28"/>
  <c r="AN91" i="28"/>
  <c r="AG91" i="28"/>
  <c r="AF91" i="28"/>
  <c r="AL91" i="28"/>
  <c r="AE91" i="28"/>
  <c r="AC91" i="28"/>
  <c r="AD91" i="28"/>
  <c r="AB91" i="28"/>
  <c r="D92" i="28" l="1"/>
  <c r="M91" i="28"/>
  <c r="Z91" i="28"/>
  <c r="AP92" i="28"/>
  <c r="AQ93" i="28" s="1"/>
  <c r="AR94" i="28" s="1"/>
  <c r="AS95" i="28" s="1"/>
  <c r="R96" i="28" s="1"/>
  <c r="H91" i="28"/>
  <c r="AA91" i="28"/>
  <c r="K91" i="28"/>
  <c r="I91" i="28"/>
  <c r="B91" i="28"/>
  <c r="Y92" i="28" s="1"/>
  <c r="T91" i="28" l="1"/>
  <c r="W92" i="28" s="1"/>
  <c r="L91" i="28"/>
  <c r="P91" i="28"/>
  <c r="Q91" i="28" s="1"/>
  <c r="O91" i="28" s="1"/>
  <c r="J91" i="28"/>
  <c r="N91" i="28"/>
  <c r="E92" i="28"/>
  <c r="G92" i="28" s="1"/>
  <c r="F92" i="28"/>
  <c r="C91" i="28"/>
  <c r="S91" i="28"/>
  <c r="U92" i="28"/>
  <c r="X92" i="28" s="1"/>
  <c r="V93" i="28" l="1"/>
  <c r="AJ92" i="28"/>
  <c r="AD92" i="28"/>
  <c r="AG92" i="28"/>
  <c r="AF92" i="28"/>
  <c r="AM92" i="28"/>
  <c r="AE92" i="28"/>
  <c r="AC92" i="28"/>
  <c r="AO92" i="28"/>
  <c r="AL92" i="28"/>
  <c r="AK92" i="28"/>
  <c r="AN92" i="28"/>
  <c r="AP93" i="28" s="1"/>
  <c r="AQ94" i="28" s="1"/>
  <c r="AR95" i="28" s="1"/>
  <c r="AS96" i="28" s="1"/>
  <c r="R97" i="28" s="1"/>
  <c r="AH92" i="28"/>
  <c r="AI92" i="28"/>
  <c r="AB92" i="28"/>
  <c r="D93" i="28" l="1"/>
  <c r="AA92" i="28"/>
  <c r="H92" i="28"/>
  <c r="M92" i="28"/>
  <c r="Z92" i="28"/>
  <c r="K92" i="28"/>
  <c r="B92" i="28"/>
  <c r="Y93" i="28" s="1"/>
  <c r="I92" i="28"/>
  <c r="U93" i="28" l="1"/>
  <c r="T92" i="28"/>
  <c r="W93" i="28" s="1"/>
  <c r="X93" i="28" s="1"/>
  <c r="L92" i="28"/>
  <c r="P92" i="28"/>
  <c r="Q92" i="28" s="1"/>
  <c r="J92" i="28"/>
  <c r="N92" i="28"/>
  <c r="E93" i="28"/>
  <c r="G93" i="28" s="1"/>
  <c r="F93" i="28"/>
  <c r="C92" i="28"/>
  <c r="S92" i="28"/>
  <c r="O92" i="28" l="1"/>
  <c r="V94" i="28"/>
  <c r="AK93" i="28"/>
  <c r="AF93" i="28"/>
  <c r="AL93" i="28"/>
  <c r="AG93" i="28"/>
  <c r="AO93" i="28"/>
  <c r="AC93" i="28"/>
  <c r="AN93" i="28"/>
  <c r="AH93" i="28"/>
  <c r="AJ93" i="28"/>
  <c r="AD93" i="28"/>
  <c r="AI93" i="28"/>
  <c r="AE93" i="28"/>
  <c r="AM93" i="28"/>
  <c r="AB93" i="28"/>
  <c r="K93" i="28" l="1"/>
  <c r="I93" i="28"/>
  <c r="B93" i="28"/>
  <c r="Y94" i="28" s="1"/>
  <c r="H93" i="28"/>
  <c r="AA93" i="28"/>
  <c r="D94" i="28"/>
  <c r="Z93" i="28"/>
  <c r="M93" i="28"/>
  <c r="AP94" i="28"/>
  <c r="AQ95" i="28" s="1"/>
  <c r="AR96" i="28" s="1"/>
  <c r="AS97" i="28" s="1"/>
  <c r="U94" i="28" l="1"/>
  <c r="R98" i="28"/>
  <c r="E94" i="28"/>
  <c r="G94" i="28" s="1"/>
  <c r="F94" i="28"/>
  <c r="C93" i="28"/>
  <c r="S93" i="28"/>
  <c r="T93" i="28"/>
  <c r="W94" i="28" s="1"/>
  <c r="X94" i="28" s="1"/>
  <c r="L93" i="28"/>
  <c r="P93" i="28"/>
  <c r="Q93" i="28" s="1"/>
  <c r="J93" i="28"/>
  <c r="N93" i="28"/>
  <c r="V95" i="28" l="1"/>
  <c r="AO94" i="28"/>
  <c r="AD94" i="28"/>
  <c r="AK94" i="28"/>
  <c r="AH94" i="28"/>
  <c r="AF94" i="28"/>
  <c r="AI94" i="28"/>
  <c r="AJ94" i="28"/>
  <c r="AN94" i="28"/>
  <c r="AC94" i="28"/>
  <c r="AE94" i="28"/>
  <c r="AM94" i="28"/>
  <c r="AL94" i="28"/>
  <c r="AG94" i="28"/>
  <c r="AB94" i="28"/>
  <c r="O93" i="28"/>
  <c r="Z94" i="28" l="1"/>
  <c r="M94" i="28"/>
  <c r="AA94" i="28"/>
  <c r="H94" i="28"/>
  <c r="D95" i="28"/>
  <c r="AP95" i="28"/>
  <c r="AQ96" i="28" s="1"/>
  <c r="AR97" i="28" s="1"/>
  <c r="B94" i="28"/>
  <c r="Y95" i="28" s="1"/>
  <c r="I94" i="28"/>
  <c r="K94" i="28"/>
  <c r="U95" i="28" l="1"/>
  <c r="P94" i="28"/>
  <c r="Q94" i="28" s="1"/>
  <c r="O94" i="28" s="1"/>
  <c r="N94" i="28"/>
  <c r="J94" i="28"/>
  <c r="T94" i="28"/>
  <c r="W95" i="28" s="1"/>
  <c r="X95" i="28" s="1"/>
  <c r="L94" i="28"/>
  <c r="AS98" i="28"/>
  <c r="F95" i="28"/>
  <c r="C94" i="28"/>
  <c r="S94" i="28"/>
  <c r="E95" i="28"/>
  <c r="G95" i="28" s="1"/>
  <c r="V96" i="28" l="1"/>
  <c r="AB95" i="28"/>
  <c r="R99" i="28"/>
  <c r="AJ95" i="28"/>
  <c r="AO95" i="28"/>
  <c r="AE95" i="28"/>
  <c r="AL95" i="28"/>
  <c r="AH95" i="28"/>
  <c r="AG95" i="28"/>
  <c r="AM95" i="28"/>
  <c r="AK95" i="28"/>
  <c r="AI95" i="28"/>
  <c r="AF95" i="28"/>
  <c r="AC95" i="28"/>
  <c r="AN95" i="28"/>
  <c r="AD95" i="28"/>
  <c r="AP96" i="28" l="1"/>
  <c r="AQ97" i="28" s="1"/>
  <c r="B95" i="28"/>
  <c r="Y96" i="28" s="1"/>
  <c r="K95" i="28"/>
  <c r="I95" i="28"/>
  <c r="D96" i="28"/>
  <c r="AR98" i="28"/>
  <c r="M95" i="28"/>
  <c r="Z95" i="28"/>
  <c r="H95" i="28"/>
  <c r="AA95" i="28"/>
  <c r="U96" i="28" l="1"/>
  <c r="P95" i="28"/>
  <c r="Q95" i="28" s="1"/>
  <c r="N95" i="28"/>
  <c r="J95" i="28"/>
  <c r="AS99" i="28"/>
  <c r="S95" i="28"/>
  <c r="F96" i="28"/>
  <c r="E96" i="28"/>
  <c r="G96" i="28" s="1"/>
  <c r="C95" i="28"/>
  <c r="T95" i="28"/>
  <c r="W96" i="28" s="1"/>
  <c r="X96" i="28" s="1"/>
  <c r="L95" i="28"/>
  <c r="O95" i="28" l="1"/>
  <c r="V97" i="28"/>
  <c r="R100" i="28"/>
  <c r="AB96" i="28"/>
  <c r="AM96" i="28"/>
  <c r="AE96" i="28"/>
  <c r="AO96" i="28"/>
  <c r="AI96" i="28"/>
  <c r="AN96" i="28"/>
  <c r="AK96" i="28"/>
  <c r="AF96" i="28"/>
  <c r="AG96" i="28"/>
  <c r="AJ96" i="28"/>
  <c r="AL96" i="28"/>
  <c r="AC96" i="28"/>
  <c r="AD96" i="28"/>
  <c r="AH96" i="28"/>
  <c r="AP97" i="28" l="1"/>
  <c r="M96" i="28"/>
  <c r="Z96" i="28"/>
  <c r="K96" i="28"/>
  <c r="B96" i="28"/>
  <c r="Y97" i="28" s="1"/>
  <c r="I96" i="28"/>
  <c r="AQ98" i="28"/>
  <c r="D97" i="28"/>
  <c r="H96" i="28"/>
  <c r="AA96" i="28"/>
  <c r="U97" i="28" l="1"/>
  <c r="P96" i="28"/>
  <c r="Q96" i="28" s="1"/>
  <c r="N96" i="28"/>
  <c r="J96" i="28"/>
  <c r="E97" i="28"/>
  <c r="G97" i="28" s="1"/>
  <c r="S96" i="28"/>
  <c r="F97" i="28"/>
  <c r="C96" i="28"/>
  <c r="AR99" i="28"/>
  <c r="T96" i="28"/>
  <c r="W97" i="28" s="1"/>
  <c r="X97" i="28" s="1"/>
  <c r="L96" i="28"/>
  <c r="O96" i="28" l="1"/>
  <c r="AH97" i="28"/>
  <c r="AF97" i="28"/>
  <c r="AK97" i="28"/>
  <c r="AN97" i="28"/>
  <c r="AE97" i="28"/>
  <c r="AG97" i="28"/>
  <c r="AL97" i="28"/>
  <c r="AO97" i="28"/>
  <c r="AI97" i="28"/>
  <c r="AJ97" i="28"/>
  <c r="AD97" i="28"/>
  <c r="AC97" i="28"/>
  <c r="AM97" i="28"/>
  <c r="V98" i="28"/>
  <c r="AB97" i="28"/>
  <c r="AS100" i="28"/>
  <c r="AP98" i="28" l="1"/>
  <c r="AA97" i="28"/>
  <c r="H97" i="28"/>
  <c r="R101" i="28"/>
  <c r="Z97" i="28"/>
  <c r="M97" i="28"/>
  <c r="D98" i="28"/>
  <c r="K97" i="28"/>
  <c r="B97" i="28"/>
  <c r="Y98" i="28" s="1"/>
  <c r="I97" i="28"/>
  <c r="S97" i="28" l="1"/>
  <c r="C97" i="28"/>
  <c r="F98" i="28"/>
  <c r="E98" i="28"/>
  <c r="G98" i="28" s="1"/>
  <c r="AQ99" i="28"/>
  <c r="T97" i="28"/>
  <c r="W98" i="28" s="1"/>
  <c r="L97" i="28"/>
  <c r="P97" i="28"/>
  <c r="Q97" i="28" s="1"/>
  <c r="N97" i="28"/>
  <c r="J97" i="28"/>
  <c r="U98" i="28"/>
  <c r="X98" i="28" l="1"/>
  <c r="AR100" i="28"/>
  <c r="AB98" i="28"/>
  <c r="V99" i="28"/>
  <c r="O97" i="28"/>
  <c r="AN98" i="28"/>
  <c r="AG98" i="28"/>
  <c r="AJ98" i="28"/>
  <c r="AM98" i="28"/>
  <c r="AI98" i="28"/>
  <c r="AH98" i="28"/>
  <c r="AF98" i="28"/>
  <c r="AK98" i="28"/>
  <c r="AL98" i="28"/>
  <c r="AC98" i="28"/>
  <c r="AO98" i="28"/>
  <c r="AD98" i="28"/>
  <c r="AE98" i="28"/>
  <c r="D99" i="28" l="1"/>
  <c r="I98" i="28"/>
  <c r="B98" i="28"/>
  <c r="Y99" i="28" s="1"/>
  <c r="K98" i="28"/>
  <c r="M98" i="28"/>
  <c r="Z98" i="28"/>
  <c r="AA98" i="28"/>
  <c r="H98" i="28"/>
  <c r="AP99" i="28"/>
  <c r="AS101" i="28"/>
  <c r="U99" i="28" l="1"/>
  <c r="E99" i="28"/>
  <c r="G99" i="28" s="1"/>
  <c r="C98" i="28"/>
  <c r="S98" i="28"/>
  <c r="F99" i="28"/>
  <c r="AQ100" i="28"/>
  <c r="P98" i="28"/>
  <c r="Q98" i="28" s="1"/>
  <c r="J98" i="28"/>
  <c r="N98" i="28"/>
  <c r="R102" i="28"/>
  <c r="T98" i="28"/>
  <c r="W99" i="28" s="1"/>
  <c r="X99" i="28" s="1"/>
  <c r="L98" i="28"/>
  <c r="O98" i="28" l="1"/>
  <c r="V100" i="28"/>
  <c r="AR101" i="28"/>
  <c r="AG99" i="28"/>
  <c r="AD99" i="28"/>
  <c r="AE99" i="28"/>
  <c r="AK99" i="28"/>
  <c r="AJ99" i="28"/>
  <c r="AN99" i="28"/>
  <c r="AM99" i="28"/>
  <c r="AL99" i="28"/>
  <c r="AC99" i="28"/>
  <c r="AO99" i="28"/>
  <c r="AF99" i="28"/>
  <c r="AH99" i="28"/>
  <c r="AI99" i="28"/>
  <c r="AB99" i="28"/>
  <c r="AA99" i="28" l="1"/>
  <c r="H99" i="28"/>
  <c r="AP100" i="28"/>
  <c r="B99" i="28"/>
  <c r="Y100" i="28" s="1"/>
  <c r="K99" i="28"/>
  <c r="I99" i="28"/>
  <c r="AS102" i="28"/>
  <c r="R103" i="28" s="1"/>
  <c r="M99" i="28"/>
  <c r="Z99" i="28"/>
  <c r="D100" i="28"/>
  <c r="T99" i="28" l="1"/>
  <c r="W100" i="28" s="1"/>
  <c r="L99" i="28"/>
  <c r="P99" i="28"/>
  <c r="Q99" i="28" s="1"/>
  <c r="O99" i="28" s="1"/>
  <c r="J99" i="28"/>
  <c r="N99" i="28"/>
  <c r="U100" i="28"/>
  <c r="X100" i="28" s="1"/>
  <c r="V101" i="28" s="1"/>
  <c r="E100" i="28"/>
  <c r="G100" i="28" s="1"/>
  <c r="F100" i="28"/>
  <c r="C99" i="28"/>
  <c r="S99" i="28"/>
  <c r="AQ101" i="28"/>
  <c r="AB100" i="28" l="1"/>
  <c r="AR102" i="28"/>
  <c r="AS103" i="28" s="1"/>
  <c r="AI100" i="28"/>
  <c r="AM100" i="28"/>
  <c r="AK100" i="28"/>
  <c r="AC100" i="28"/>
  <c r="AE100" i="28"/>
  <c r="AG100" i="28"/>
  <c r="AN100" i="28"/>
  <c r="AD100" i="28"/>
  <c r="AO100" i="28"/>
  <c r="AL100" i="28"/>
  <c r="AF100" i="28"/>
  <c r="AJ100" i="28"/>
  <c r="AH100" i="28"/>
  <c r="M100" i="28" l="1"/>
  <c r="Z100" i="28"/>
  <c r="H100" i="28"/>
  <c r="AA100" i="28"/>
  <c r="R104" i="28"/>
  <c r="E46" i="6"/>
  <c r="D45" i="6"/>
  <c r="C46" i="6"/>
  <c r="D101" i="28"/>
  <c r="I100" i="28"/>
  <c r="B100" i="28"/>
  <c r="K100" i="28"/>
  <c r="AP101" i="28"/>
  <c r="Y101" i="28" l="1"/>
  <c r="F12" i="1"/>
  <c r="T100" i="28"/>
  <c r="W101" i="28" s="1"/>
  <c r="L100" i="28"/>
  <c r="U101" i="28"/>
  <c r="X101" i="28" s="1"/>
  <c r="L16" i="6"/>
  <c r="S100" i="28"/>
  <c r="F101" i="28"/>
  <c r="C100" i="28"/>
  <c r="F13" i="1" s="1"/>
  <c r="E101" i="28"/>
  <c r="G101" i="28" s="1"/>
  <c r="AQ102" i="28"/>
  <c r="AR103" i="28" s="1"/>
  <c r="P100" i="28"/>
  <c r="Q100" i="28" s="1"/>
  <c r="J100" i="28"/>
  <c r="N100" i="28"/>
  <c r="F46" i="6"/>
  <c r="G46" i="6"/>
  <c r="AO101" i="28" l="1"/>
  <c r="AK101" i="28"/>
  <c r="AG101" i="28"/>
  <c r="AF101" i="28"/>
  <c r="AD101" i="28"/>
  <c r="AL101" i="28"/>
  <c r="AC101" i="28"/>
  <c r="AM101" i="28"/>
  <c r="AH101" i="28"/>
  <c r="AJ101" i="28"/>
  <c r="AE101" i="28"/>
  <c r="AI101" i="28"/>
  <c r="AN101" i="28"/>
  <c r="AP102" i="28" s="1"/>
  <c r="AQ103" i="28" s="1"/>
  <c r="AS104" i="28"/>
  <c r="R105" i="28" s="1"/>
  <c r="C45" i="6"/>
  <c r="E45" i="6"/>
  <c r="D44" i="6"/>
  <c r="V102" i="28"/>
  <c r="O100" i="28"/>
  <c r="AB101" i="28"/>
  <c r="L17" i="6"/>
  <c r="L18" i="6" s="1"/>
  <c r="G45" i="6" l="1"/>
  <c r="F45" i="6"/>
  <c r="Z101" i="28"/>
  <c r="M101" i="28"/>
  <c r="I101" i="28"/>
  <c r="B101" i="28"/>
  <c r="Y102" i="28" s="1"/>
  <c r="K101" i="28"/>
  <c r="D102" i="28"/>
  <c r="AA101" i="28"/>
  <c r="H101" i="28"/>
  <c r="AR104" i="28"/>
  <c r="AS105" i="28" s="1"/>
  <c r="R106" i="28" s="1"/>
  <c r="E44" i="6"/>
  <c r="C44" i="6"/>
  <c r="U102" i="28" l="1"/>
  <c r="T101" i="28"/>
  <c r="W102" i="28" s="1"/>
  <c r="X102" i="28" s="1"/>
  <c r="L101" i="28"/>
  <c r="C101" i="28"/>
  <c r="F102" i="28"/>
  <c r="S101" i="28"/>
  <c r="E102" i="28"/>
  <c r="G102" i="28" s="1"/>
  <c r="P101" i="28"/>
  <c r="Q101" i="28" s="1"/>
  <c r="O101" i="28" s="1"/>
  <c r="N101" i="28"/>
  <c r="J101" i="28"/>
  <c r="F44" i="6"/>
  <c r="G44" i="6"/>
  <c r="AF102" i="28" l="1"/>
  <c r="AG102" i="28"/>
  <c r="AN102" i="28"/>
  <c r="AK102" i="28"/>
  <c r="AM102" i="28"/>
  <c r="AO102" i="28"/>
  <c r="AC102" i="28"/>
  <c r="AJ102" i="28"/>
  <c r="AI102" i="28"/>
  <c r="AH102" i="28"/>
  <c r="AL102" i="28"/>
  <c r="AD102" i="28"/>
  <c r="AE102" i="28"/>
  <c r="V103" i="28"/>
  <c r="AB102" i="28"/>
  <c r="AP103" i="28" l="1"/>
  <c r="AA102" i="28"/>
  <c r="H102" i="28"/>
  <c r="D103" i="28"/>
  <c r="K102" i="28"/>
  <c r="I102" i="28"/>
  <c r="B102" i="28"/>
  <c r="Y103" i="28" s="1"/>
  <c r="M102" i="28"/>
  <c r="Z102" i="28"/>
  <c r="C102" i="28" l="1"/>
  <c r="S102" i="28"/>
  <c r="E103" i="28"/>
  <c r="G103" i="28" s="1"/>
  <c r="F103" i="28"/>
  <c r="T102" i="28"/>
  <c r="W103" i="28" s="1"/>
  <c r="L102" i="28"/>
  <c r="U103" i="28"/>
  <c r="P102" i="28"/>
  <c r="Q102" i="28" s="1"/>
  <c r="N102" i="28"/>
  <c r="J102" i="28"/>
  <c r="AQ104" i="28"/>
  <c r="AR105" i="28" s="1"/>
  <c r="AS106" i="28" s="1"/>
  <c r="R107" i="28" s="1"/>
  <c r="E43" i="6"/>
  <c r="C43" i="6"/>
  <c r="D43" i="6"/>
  <c r="O102" i="28" l="1"/>
  <c r="F43" i="6"/>
  <c r="G43" i="6"/>
  <c r="AB103" i="28"/>
  <c r="X103" i="28"/>
  <c r="AL103" i="28"/>
  <c r="AF103" i="28"/>
  <c r="AI103" i="28"/>
  <c r="AH103" i="28"/>
  <c r="AC103" i="28"/>
  <c r="AN103" i="28"/>
  <c r="AG103" i="28"/>
  <c r="AO103" i="28"/>
  <c r="AM103" i="28"/>
  <c r="AJ103" i="28"/>
  <c r="AK103" i="28"/>
  <c r="AD103" i="28"/>
  <c r="AE103" i="28"/>
  <c r="C39" i="6" l="1"/>
  <c r="D39" i="6"/>
  <c r="E39" i="6"/>
  <c r="D40" i="6"/>
  <c r="E40" i="6"/>
  <c r="C40" i="6"/>
  <c r="E42" i="6"/>
  <c r="D42" i="6"/>
  <c r="C42" i="6"/>
  <c r="AP104" i="28"/>
  <c r="AQ105" i="28" s="1"/>
  <c r="AR106" i="28" s="1"/>
  <c r="AS107" i="28" s="1"/>
  <c r="R108" i="28" s="1"/>
  <c r="E41" i="6"/>
  <c r="C41" i="6"/>
  <c r="D41" i="6"/>
  <c r="B103" i="28"/>
  <c r="Y104" i="28" s="1"/>
  <c r="E29" i="6"/>
  <c r="K103" i="28"/>
  <c r="C29" i="6"/>
  <c r="I103" i="28"/>
  <c r="D29" i="6"/>
  <c r="C36" i="6"/>
  <c r="D36" i="6"/>
  <c r="E36" i="6"/>
  <c r="M103" i="28"/>
  <c r="Z103" i="28"/>
  <c r="C33" i="6"/>
  <c r="E33" i="6"/>
  <c r="D33" i="6"/>
  <c r="C30" i="6"/>
  <c r="E30" i="6"/>
  <c r="D30" i="6"/>
  <c r="D38" i="6"/>
  <c r="E38" i="6"/>
  <c r="C38" i="6"/>
  <c r="D37" i="6"/>
  <c r="E37" i="6"/>
  <c r="C37" i="6"/>
  <c r="V104" i="28"/>
  <c r="AA103" i="28"/>
  <c r="H103" i="28"/>
  <c r="D34" i="6"/>
  <c r="C34" i="6"/>
  <c r="E34" i="6"/>
  <c r="D104" i="28"/>
  <c r="D32" i="6"/>
  <c r="C32" i="6"/>
  <c r="E32" i="6"/>
  <c r="E31" i="6"/>
  <c r="C31" i="6"/>
  <c r="D31" i="6"/>
  <c r="C35" i="6"/>
  <c r="D35" i="6"/>
  <c r="E35" i="6"/>
  <c r="U104" i="28" l="1"/>
  <c r="F35" i="6"/>
  <c r="G35" i="6"/>
  <c r="G36" i="6"/>
  <c r="F36" i="6"/>
  <c r="E104" i="28"/>
  <c r="G104" i="28" s="1"/>
  <c r="B5" i="6"/>
  <c r="F104" i="28"/>
  <c r="C103" i="28"/>
  <c r="B4" i="6"/>
  <c r="B3" i="6"/>
  <c r="E12" i="1" s="1"/>
  <c r="S103" i="28"/>
  <c r="B7" i="6"/>
  <c r="F40" i="6"/>
  <c r="G40" i="6"/>
  <c r="G33" i="6"/>
  <c r="C19" i="6"/>
  <c r="F33" i="6"/>
  <c r="F41" i="6"/>
  <c r="G41" i="6"/>
  <c r="F31" i="6"/>
  <c r="G31" i="6"/>
  <c r="G37" i="6"/>
  <c r="F37" i="6"/>
  <c r="C20" i="6"/>
  <c r="G34" i="6"/>
  <c r="F34" i="6"/>
  <c r="P103" i="28"/>
  <c r="Q103" i="28" s="1"/>
  <c r="N103" i="28"/>
  <c r="J103" i="28"/>
  <c r="F30" i="6"/>
  <c r="G30" i="6"/>
  <c r="G29" i="6"/>
  <c r="F29" i="6"/>
  <c r="F42" i="6"/>
  <c r="G42" i="6"/>
  <c r="T103" i="28"/>
  <c r="W104" i="28" s="1"/>
  <c r="X104" i="28" s="1"/>
  <c r="V105" i="28" s="1"/>
  <c r="L103" i="28"/>
  <c r="G39" i="6"/>
  <c r="F39" i="6"/>
  <c r="F32" i="6"/>
  <c r="G32" i="6"/>
  <c r="F38" i="6"/>
  <c r="G38" i="6"/>
  <c r="G20" i="8"/>
  <c r="O103" i="28" l="1"/>
  <c r="AB104" i="28"/>
  <c r="AN104" i="28"/>
  <c r="AP105" i="28" s="1"/>
  <c r="AQ106" i="28" s="1"/>
  <c r="AR107" i="28" s="1"/>
  <c r="AS108" i="28" s="1"/>
  <c r="R109" i="28" s="1"/>
  <c r="AE104" i="28"/>
  <c r="AD104" i="28"/>
  <c r="AL104" i="28"/>
  <c r="AH104" i="28"/>
  <c r="AF104" i="28"/>
  <c r="AO104" i="28"/>
  <c r="AC104" i="28"/>
  <c r="AM104" i="28"/>
  <c r="AG104" i="28"/>
  <c r="AK104" i="28"/>
  <c r="AJ104" i="28"/>
  <c r="AI104" i="28"/>
  <c r="C3" i="6"/>
  <c r="B26" i="1"/>
  <c r="B27" i="1" l="1"/>
  <c r="AA104" i="28"/>
  <c r="H104" i="28"/>
  <c r="D105" i="28"/>
  <c r="I104" i="28"/>
  <c r="B104" i="28"/>
  <c r="Y105" i="28" s="1"/>
  <c r="K104" i="28"/>
  <c r="C1" i="14"/>
  <c r="B1" i="15"/>
  <c r="D1" i="24"/>
  <c r="B13" i="26"/>
  <c r="D2" i="9"/>
  <c r="M104" i="28"/>
  <c r="Z104" i="28"/>
  <c r="I18" i="8"/>
  <c r="C18" i="8" s="1"/>
  <c r="J20" i="8"/>
  <c r="D26" i="18" l="1"/>
  <c r="D25" i="18"/>
  <c r="E37" i="9"/>
  <c r="E39" i="9" s="1"/>
  <c r="F118" i="21"/>
  <c r="Y118" i="21" s="1"/>
  <c r="F35" i="21"/>
  <c r="Y35" i="21" s="1"/>
  <c r="F59" i="21"/>
  <c r="AA59" i="21" s="1"/>
  <c r="F34" i="21"/>
  <c r="Y34" i="21" s="1"/>
  <c r="F95" i="21"/>
  <c r="Y95" i="21" s="1"/>
  <c r="AC127" i="21"/>
  <c r="F70" i="21"/>
  <c r="AA70" i="21" s="1"/>
  <c r="F19" i="21"/>
  <c r="Y19" i="21" s="1"/>
  <c r="F98" i="21"/>
  <c r="Y98" i="21" s="1"/>
  <c r="F97" i="21"/>
  <c r="Y97" i="21" s="1"/>
  <c r="F111" i="21"/>
  <c r="Y111" i="21" s="1"/>
  <c r="AC4" i="21"/>
  <c r="F110" i="21"/>
  <c r="Y110" i="21" s="1"/>
  <c r="F104" i="21"/>
  <c r="Y104" i="21" s="1"/>
  <c r="F99" i="21"/>
  <c r="Y99" i="21" s="1"/>
  <c r="F26" i="21"/>
  <c r="Y26" i="21" s="1"/>
  <c r="F87" i="21"/>
  <c r="Y87" i="21" s="1"/>
  <c r="F30" i="21"/>
  <c r="Y30" i="21" s="1"/>
  <c r="F25" i="21"/>
  <c r="Y25" i="21" s="1"/>
  <c r="F93" i="21"/>
  <c r="Y93" i="21" s="1"/>
  <c r="AC9" i="21"/>
  <c r="F36" i="21"/>
  <c r="Y36" i="21" s="1"/>
  <c r="F91" i="21"/>
  <c r="Y91" i="21" s="1"/>
  <c r="G130" i="21"/>
  <c r="F92" i="21"/>
  <c r="Y92" i="21" s="1"/>
  <c r="F24" i="21"/>
  <c r="Y24" i="21" s="1"/>
  <c r="F15" i="21"/>
  <c r="Y15" i="21" s="1"/>
  <c r="F109" i="21"/>
  <c r="Y109" i="21" s="1"/>
  <c r="F106" i="21"/>
  <c r="Y106" i="21" s="1"/>
  <c r="F63" i="21"/>
  <c r="Y63" i="21" s="1"/>
  <c r="F71" i="21"/>
  <c r="Y71" i="21" s="1"/>
  <c r="F60" i="21"/>
  <c r="AA60" i="21" s="1"/>
  <c r="D6" i="9"/>
  <c r="P104" i="28"/>
  <c r="Q104" i="28" s="1"/>
  <c r="N104" i="28"/>
  <c r="J104" i="28"/>
  <c r="D23" i="24"/>
  <c r="E23" i="24" s="1"/>
  <c r="D15" i="24"/>
  <c r="E15" i="24" s="1"/>
  <c r="D17" i="24"/>
  <c r="E17" i="24" s="1"/>
  <c r="D22" i="24"/>
  <c r="E22" i="24" s="1"/>
  <c r="D18" i="24"/>
  <c r="E18" i="24" s="1"/>
  <c r="D21" i="24"/>
  <c r="E21" i="24" s="1"/>
  <c r="D24" i="24"/>
  <c r="E24" i="24" s="1"/>
  <c r="D20" i="24"/>
  <c r="E20" i="24" s="1"/>
  <c r="D14" i="24"/>
  <c r="E14" i="24" s="1"/>
  <c r="D19" i="24"/>
  <c r="E19" i="24" s="1"/>
  <c r="D26" i="24"/>
  <c r="D16" i="24"/>
  <c r="E16" i="24" s="1"/>
  <c r="B31" i="15"/>
  <c r="B33" i="15" s="1"/>
  <c r="B35" i="15" s="1"/>
  <c r="B13" i="15"/>
  <c r="S104" i="28"/>
  <c r="E105" i="28"/>
  <c r="G105" i="28" s="1"/>
  <c r="C104" i="28"/>
  <c r="F105" i="28"/>
  <c r="U105" i="28"/>
  <c r="I10" i="14"/>
  <c r="E1" i="14"/>
  <c r="I9" i="14"/>
  <c r="F13" i="26"/>
  <c r="D13" i="26"/>
  <c r="H13" i="26" s="1"/>
  <c r="T104" i="28"/>
  <c r="W105" i="28" s="1"/>
  <c r="L104" i="28"/>
  <c r="I20" i="8"/>
  <c r="C10" i="8"/>
  <c r="H20" i="8"/>
  <c r="C19" i="8"/>
  <c r="C8" i="8" s="1"/>
  <c r="O104" i="28" l="1"/>
  <c r="AC91" i="21"/>
  <c r="AC99" i="21"/>
  <c r="AC70" i="21"/>
  <c r="AC63" i="21"/>
  <c r="AC36" i="21"/>
  <c r="AC104" i="21"/>
  <c r="D9" i="24"/>
  <c r="E13" i="24"/>
  <c r="AC106" i="21"/>
  <c r="AC110" i="21"/>
  <c r="AC95" i="21"/>
  <c r="F26" i="24"/>
  <c r="E26" i="24"/>
  <c r="J9" i="14"/>
  <c r="H9" i="14"/>
  <c r="AC109" i="21"/>
  <c r="AC93" i="21"/>
  <c r="AC34" i="21"/>
  <c r="AC71" i="21"/>
  <c r="AC25" i="21"/>
  <c r="AC111" i="21"/>
  <c r="AC59" i="21"/>
  <c r="AB105" i="28"/>
  <c r="AC15" i="21"/>
  <c r="J10" i="14"/>
  <c r="H10" i="14"/>
  <c r="B16" i="15"/>
  <c r="C16" i="15"/>
  <c r="D16" i="15"/>
  <c r="AC24" i="21"/>
  <c r="AC30" i="21"/>
  <c r="AC97" i="21"/>
  <c r="AC35" i="21"/>
  <c r="AK105" i="28"/>
  <c r="AC105" i="28"/>
  <c r="AH105" i="28"/>
  <c r="AD105" i="28"/>
  <c r="AO105" i="28"/>
  <c r="AJ105" i="28"/>
  <c r="AG105" i="28"/>
  <c r="AE105" i="28"/>
  <c r="AL105" i="28"/>
  <c r="AN105" i="28"/>
  <c r="AM105" i="28"/>
  <c r="AF105" i="28"/>
  <c r="AI105" i="28"/>
  <c r="X105" i="28"/>
  <c r="B37" i="15"/>
  <c r="F14" i="9"/>
  <c r="B41" i="15"/>
  <c r="AC92" i="21"/>
  <c r="AC87" i="21"/>
  <c r="AC98" i="21"/>
  <c r="AC118" i="21"/>
  <c r="AC60" i="21"/>
  <c r="AC26" i="21"/>
  <c r="AC19" i="21"/>
  <c r="L44" i="8"/>
  <c r="N44" i="8"/>
  <c r="O45" i="8" s="1"/>
  <c r="P46" i="8" s="1"/>
  <c r="Q47" i="8" s="1"/>
  <c r="R48" i="8" s="1"/>
  <c r="G44" i="8"/>
  <c r="O44" i="8"/>
  <c r="P45" i="8" s="1"/>
  <c r="Q46" i="8" s="1"/>
  <c r="R47" i="8" s="1"/>
  <c r="Q44" i="8"/>
  <c r="P44" i="8"/>
  <c r="Q45" i="8" s="1"/>
  <c r="F12" i="9"/>
  <c r="C11" i="8"/>
  <c r="B19" i="1" s="1"/>
  <c r="X45" i="8"/>
  <c r="Y45" i="8"/>
  <c r="E8" i="8"/>
  <c r="G124" i="21"/>
  <c r="G126" i="21" s="1"/>
  <c r="E12" i="9"/>
  <c r="G26" i="24" l="1"/>
  <c r="B39" i="15"/>
  <c r="B38" i="15" s="1"/>
  <c r="B44" i="15"/>
  <c r="E14" i="9" s="1"/>
  <c r="B43" i="15"/>
  <c r="AB63" i="21"/>
  <c r="AD63" i="21"/>
  <c r="AF63" i="21" s="1"/>
  <c r="AB71" i="21"/>
  <c r="AD71" i="21"/>
  <c r="AF71" i="21" s="1"/>
  <c r="AD106" i="21"/>
  <c r="AF106" i="21" s="1"/>
  <c r="AB106" i="21"/>
  <c r="AB98" i="21"/>
  <c r="AD98" i="21"/>
  <c r="AF98" i="21" s="1"/>
  <c r="AA105" i="28"/>
  <c r="H105" i="28"/>
  <c r="C18" i="15"/>
  <c r="C15" i="15"/>
  <c r="AD59" i="21"/>
  <c r="AF59" i="21" s="1"/>
  <c r="AB59" i="21"/>
  <c r="AD34" i="21"/>
  <c r="AF34" i="21" s="1"/>
  <c r="AB34" i="21"/>
  <c r="D15" i="15"/>
  <c r="D18" i="15"/>
  <c r="AD97" i="21"/>
  <c r="AF97" i="21" s="1"/>
  <c r="AB97" i="21"/>
  <c r="AD70" i="21"/>
  <c r="AF70" i="21" s="1"/>
  <c r="AB70" i="21"/>
  <c r="B18" i="15"/>
  <c r="B15" i="15"/>
  <c r="AB95" i="21"/>
  <c r="AD95" i="21"/>
  <c r="AF95" i="21" s="1"/>
  <c r="AB104" i="21"/>
  <c r="AD104" i="21"/>
  <c r="AF104" i="21" s="1"/>
  <c r="AB99" i="21"/>
  <c r="AD99" i="21"/>
  <c r="AF99" i="21" s="1"/>
  <c r="AD26" i="21"/>
  <c r="AF26" i="21" s="1"/>
  <c r="AB26" i="21"/>
  <c r="AD87" i="21"/>
  <c r="AF87" i="21" s="1"/>
  <c r="AB87" i="21"/>
  <c r="AB93" i="21"/>
  <c r="AD93" i="21"/>
  <c r="AF93" i="21" s="1"/>
  <c r="Z105" i="28"/>
  <c r="M105" i="28"/>
  <c r="AB30" i="21"/>
  <c r="AD30" i="21"/>
  <c r="AF30" i="21" s="1"/>
  <c r="AB111" i="21"/>
  <c r="AD111" i="21"/>
  <c r="AF111" i="21" s="1"/>
  <c r="AB118" i="21"/>
  <c r="AD118" i="21"/>
  <c r="AF118" i="21" s="1"/>
  <c r="AD35" i="21"/>
  <c r="AF35" i="21" s="1"/>
  <c r="AB35" i="21"/>
  <c r="AB19" i="21"/>
  <c r="AD19" i="21"/>
  <c r="AF19" i="21" s="1"/>
  <c r="V106" i="28"/>
  <c r="AD25" i="21"/>
  <c r="AF25" i="21" s="1"/>
  <c r="AB25" i="21"/>
  <c r="AB110" i="21"/>
  <c r="AD110" i="21"/>
  <c r="AF110" i="21" s="1"/>
  <c r="AB91" i="21"/>
  <c r="AD91" i="21"/>
  <c r="AF91" i="21" s="1"/>
  <c r="D106" i="28"/>
  <c r="B105" i="28"/>
  <c r="Y106" i="28" s="1"/>
  <c r="K105" i="28"/>
  <c r="I105" i="28"/>
  <c r="AD60" i="21"/>
  <c r="AF60" i="21" s="1"/>
  <c r="AB60" i="21"/>
  <c r="AB92" i="21"/>
  <c r="AD92" i="21"/>
  <c r="AF92" i="21" s="1"/>
  <c r="AP106" i="28"/>
  <c r="AQ107" i="28" s="1"/>
  <c r="AR108" i="28" s="1"/>
  <c r="AS109" i="28" s="1"/>
  <c r="R110" i="28" s="1"/>
  <c r="AB24" i="21"/>
  <c r="AD24" i="21"/>
  <c r="AF24" i="21" s="1"/>
  <c r="AD109" i="21"/>
  <c r="AF109" i="21" s="1"/>
  <c r="AB109" i="21"/>
  <c r="AB36" i="21"/>
  <c r="AD36" i="21"/>
  <c r="AF36" i="21" s="1"/>
  <c r="C14" i="8"/>
  <c r="E20" i="8" s="1"/>
  <c r="R45" i="8"/>
  <c r="R46" i="8"/>
  <c r="D44" i="8"/>
  <c r="W45" i="8" s="1"/>
  <c r="U106" i="28" l="1"/>
  <c r="P105" i="28"/>
  <c r="Q105" i="28" s="1"/>
  <c r="J105" i="28"/>
  <c r="N105" i="28"/>
  <c r="D25" i="15"/>
  <c r="D26" i="15" s="1"/>
  <c r="D19" i="15"/>
  <c r="C19" i="15"/>
  <c r="C25" i="15"/>
  <c r="C26" i="15" s="1"/>
  <c r="T105" i="28"/>
  <c r="W106" i="28" s="1"/>
  <c r="X106" i="28" s="1"/>
  <c r="L105" i="28"/>
  <c r="E106" i="28"/>
  <c r="G106" i="28" s="1"/>
  <c r="C105" i="28"/>
  <c r="S105" i="28"/>
  <c r="F106" i="28"/>
  <c r="O105" i="28"/>
  <c r="B19" i="15"/>
  <c r="B25" i="15"/>
  <c r="B48" i="15"/>
  <c r="B50" i="15" s="1"/>
  <c r="B52" i="15" s="1"/>
  <c r="J128" i="21"/>
  <c r="G128" i="21" s="1"/>
  <c r="X46" i="8"/>
  <c r="D45" i="8"/>
  <c r="W46" i="8" s="1"/>
  <c r="B44" i="8"/>
  <c r="V107" i="28" l="1"/>
  <c r="AB106" i="28"/>
  <c r="B54" i="15"/>
  <c r="B58" i="15"/>
  <c r="AL106" i="28"/>
  <c r="AE106" i="28"/>
  <c r="AO106" i="28"/>
  <c r="AN106" i="28"/>
  <c r="AH106" i="28"/>
  <c r="AG106" i="28"/>
  <c r="AI106" i="28"/>
  <c r="AM106" i="28"/>
  <c r="AD106" i="28"/>
  <c r="AK106" i="28"/>
  <c r="AF106" i="28"/>
  <c r="AC106" i="28"/>
  <c r="AJ106" i="28"/>
  <c r="B26" i="15"/>
  <c r="B27" i="15" s="1"/>
  <c r="E13" i="9" s="1"/>
  <c r="E16" i="9" s="1"/>
  <c r="F13" i="9"/>
  <c r="B20" i="15"/>
  <c r="B22" i="15"/>
  <c r="C44" i="8"/>
  <c r="L45" i="8" s="1"/>
  <c r="G14" i="21" l="1"/>
  <c r="F14" i="21"/>
  <c r="AP107" i="28"/>
  <c r="AQ108" i="28" s="1"/>
  <c r="AR109" i="28" s="1"/>
  <c r="AS110" i="28" s="1"/>
  <c r="R111" i="28" s="1"/>
  <c r="G66" i="21"/>
  <c r="G10" i="21"/>
  <c r="G60" i="21"/>
  <c r="G85" i="21"/>
  <c r="G39" i="21"/>
  <c r="G53" i="21"/>
  <c r="G111" i="21"/>
  <c r="G54" i="21"/>
  <c r="G117" i="21"/>
  <c r="G22" i="21"/>
  <c r="G30" i="21"/>
  <c r="G40" i="21"/>
  <c r="Z40" i="21" s="1"/>
  <c r="F65" i="21"/>
  <c r="Y65" i="21" s="1"/>
  <c r="F8" i="21"/>
  <c r="Y8" i="21" s="1"/>
  <c r="F72" i="21"/>
  <c r="AA72" i="21" s="1"/>
  <c r="F66" i="21"/>
  <c r="AA66" i="21" s="1"/>
  <c r="F78" i="21"/>
  <c r="Y78" i="21" s="1"/>
  <c r="F31" i="21"/>
  <c r="Y31" i="21" s="1"/>
  <c r="F105" i="21"/>
  <c r="Y105" i="21" s="1"/>
  <c r="F74" i="21"/>
  <c r="Y74" i="21" s="1"/>
  <c r="F68" i="21"/>
  <c r="Y68" i="21" s="1"/>
  <c r="F33" i="21"/>
  <c r="Y33" i="21" s="1"/>
  <c r="G9" i="21"/>
  <c r="Z9" i="21" s="1"/>
  <c r="F102" i="21"/>
  <c r="Y102" i="21" s="1"/>
  <c r="F107" i="21"/>
  <c r="Y107" i="21" s="1"/>
  <c r="F73" i="21"/>
  <c r="Y73" i="21" s="1"/>
  <c r="F96" i="21"/>
  <c r="Y96" i="21" s="1"/>
  <c r="G5" i="21"/>
  <c r="G26" i="21"/>
  <c r="G29" i="21"/>
  <c r="Z29" i="21" s="1"/>
  <c r="F11" i="21"/>
  <c r="Y11" i="21" s="1"/>
  <c r="G107" i="21"/>
  <c r="G48" i="21"/>
  <c r="G109" i="21"/>
  <c r="G63" i="21"/>
  <c r="G104" i="21"/>
  <c r="G91" i="21"/>
  <c r="G93" i="21"/>
  <c r="G94" i="21"/>
  <c r="G6" i="21"/>
  <c r="G19" i="21"/>
  <c r="G38" i="21"/>
  <c r="G80" i="21"/>
  <c r="G32" i="21"/>
  <c r="Z32" i="21" s="1"/>
  <c r="F39" i="21"/>
  <c r="Y39" i="21" s="1"/>
  <c r="F90" i="21"/>
  <c r="Y90" i="21" s="1"/>
  <c r="F38" i="21"/>
  <c r="Y38" i="21" s="1"/>
  <c r="F76" i="21"/>
  <c r="AA76" i="21" s="1"/>
  <c r="F62" i="21"/>
  <c r="Y62" i="21" s="1"/>
  <c r="F55" i="21"/>
  <c r="Y55" i="21" s="1"/>
  <c r="F18" i="21"/>
  <c r="Y18" i="21" s="1"/>
  <c r="F43" i="21"/>
  <c r="Y43" i="21" s="1"/>
  <c r="F108" i="21"/>
  <c r="Y108" i="21" s="1"/>
  <c r="F77" i="21"/>
  <c r="Y77" i="21" s="1"/>
  <c r="F28" i="21"/>
  <c r="Y28" i="21" s="1"/>
  <c r="F49" i="21"/>
  <c r="Y49" i="21" s="1"/>
  <c r="F82" i="21"/>
  <c r="Y82" i="21" s="1"/>
  <c r="G24" i="21"/>
  <c r="G27" i="21"/>
  <c r="F27" i="21"/>
  <c r="Y27" i="21" s="1"/>
  <c r="G70" i="21"/>
  <c r="G49" i="21"/>
  <c r="G79" i="21"/>
  <c r="G69" i="21"/>
  <c r="G65" i="21"/>
  <c r="G73" i="21"/>
  <c r="G13" i="21"/>
  <c r="G42" i="21"/>
  <c r="G56" i="21"/>
  <c r="G96" i="21"/>
  <c r="G86" i="21"/>
  <c r="G99" i="21"/>
  <c r="G116" i="21"/>
  <c r="Z116" i="21" s="1"/>
  <c r="F44" i="21"/>
  <c r="AA44" i="21" s="1"/>
  <c r="F48" i="21"/>
  <c r="AA48" i="21" s="1"/>
  <c r="F119" i="21"/>
  <c r="Y119" i="21" s="1"/>
  <c r="F56" i="21"/>
  <c r="Y56" i="21" s="1"/>
  <c r="F50" i="21"/>
  <c r="Y50" i="21" s="1"/>
  <c r="F40" i="21"/>
  <c r="Y40" i="21" s="1"/>
  <c r="F69" i="21"/>
  <c r="AA69" i="21" s="1"/>
  <c r="F51" i="21"/>
  <c r="Y51" i="21" s="1"/>
  <c r="F57" i="21"/>
  <c r="Y57" i="21" s="1"/>
  <c r="F61" i="21"/>
  <c r="Y61" i="21" s="1"/>
  <c r="F47" i="21"/>
  <c r="AA47" i="21" s="1"/>
  <c r="F32" i="21"/>
  <c r="Y32" i="21" s="1"/>
  <c r="F29" i="21"/>
  <c r="Y29" i="21" s="1"/>
  <c r="F5" i="21"/>
  <c r="AA5" i="21" s="1"/>
  <c r="G28" i="21"/>
  <c r="F52" i="21"/>
  <c r="Y52" i="21" s="1"/>
  <c r="G81" i="21"/>
  <c r="G31" i="21"/>
  <c r="G76" i="21"/>
  <c r="G97" i="21"/>
  <c r="G95" i="21"/>
  <c r="G110" i="21"/>
  <c r="G64" i="21"/>
  <c r="G78" i="21"/>
  <c r="G57" i="21"/>
  <c r="G71" i="21"/>
  <c r="G43" i="21"/>
  <c r="G113" i="21"/>
  <c r="F22" i="21"/>
  <c r="Y22" i="21" s="1"/>
  <c r="F41" i="21"/>
  <c r="Y41" i="21" s="1"/>
  <c r="F112" i="21"/>
  <c r="Y112" i="21" s="1"/>
  <c r="G75" i="21"/>
  <c r="F120" i="21"/>
  <c r="Y120" i="21" s="1"/>
  <c r="F113" i="21"/>
  <c r="Y113" i="21" s="1"/>
  <c r="G37" i="21"/>
  <c r="G7" i="21"/>
  <c r="G120" i="21"/>
  <c r="G35" i="21"/>
  <c r="G90" i="21"/>
  <c r="G36" i="21"/>
  <c r="G61" i="21"/>
  <c r="G106" i="21"/>
  <c r="G58" i="21"/>
  <c r="G98" i="21"/>
  <c r="G77" i="21"/>
  <c r="G15" i="21"/>
  <c r="Z15" i="21" s="1"/>
  <c r="G103" i="21"/>
  <c r="Z103" i="21" s="1"/>
  <c r="F42" i="21"/>
  <c r="Y42" i="21" s="1"/>
  <c r="F81" i="21"/>
  <c r="Y81" i="21" s="1"/>
  <c r="F37" i="21"/>
  <c r="Y37" i="21" s="1"/>
  <c r="F23" i="21"/>
  <c r="AA23" i="21" s="1"/>
  <c r="F80" i="21"/>
  <c r="Y80" i="21" s="1"/>
  <c r="G67" i="21"/>
  <c r="G72" i="21"/>
  <c r="F7" i="21"/>
  <c r="Y7" i="21" s="1"/>
  <c r="F58" i="21"/>
  <c r="Y58" i="21" s="1"/>
  <c r="G25" i="21"/>
  <c r="G44" i="21"/>
  <c r="G52" i="21"/>
  <c r="G82" i="21"/>
  <c r="G118" i="21"/>
  <c r="G50" i="21"/>
  <c r="G41" i="21"/>
  <c r="G34" i="21"/>
  <c r="G108" i="21"/>
  <c r="G74" i="21"/>
  <c r="G23" i="21"/>
  <c r="G105" i="21"/>
  <c r="Z105" i="21" s="1"/>
  <c r="G4" i="21"/>
  <c r="F53" i="21"/>
  <c r="Y53" i="21" s="1"/>
  <c r="F79" i="21"/>
  <c r="Y79" i="21" s="1"/>
  <c r="F10" i="21"/>
  <c r="Y10" i="21" s="1"/>
  <c r="F85" i="21"/>
  <c r="Y85" i="21" s="1"/>
  <c r="F67" i="21"/>
  <c r="AA67" i="21" s="1"/>
  <c r="F64" i="21"/>
  <c r="AA64" i="21" s="1"/>
  <c r="F54" i="21"/>
  <c r="Y54" i="21" s="1"/>
  <c r="F75" i="21"/>
  <c r="AA75" i="21" s="1"/>
  <c r="G87" i="21"/>
  <c r="G92" i="21"/>
  <c r="G68" i="21"/>
  <c r="G62" i="21"/>
  <c r="G55" i="21"/>
  <c r="G33" i="21"/>
  <c r="G119" i="21"/>
  <c r="G47" i="21"/>
  <c r="G59" i="21"/>
  <c r="G112" i="21"/>
  <c r="G11" i="21"/>
  <c r="G8" i="21"/>
  <c r="G102" i="21"/>
  <c r="Z102" i="21" s="1"/>
  <c r="F86" i="21"/>
  <c r="Y86" i="21" s="1"/>
  <c r="F116" i="21"/>
  <c r="Y116" i="21" s="1"/>
  <c r="F13" i="21"/>
  <c r="Y13" i="21" s="1"/>
  <c r="F117" i="21"/>
  <c r="Y117" i="21" s="1"/>
  <c r="F94" i="21"/>
  <c r="Y94" i="21" s="1"/>
  <c r="G51" i="21"/>
  <c r="G18" i="21"/>
  <c r="F6" i="21"/>
  <c r="Y6" i="21" s="1"/>
  <c r="F103" i="21"/>
  <c r="Y103" i="21" s="1"/>
  <c r="B59" i="15"/>
  <c r="B60" i="15" s="1"/>
  <c r="E15" i="9" s="1"/>
  <c r="B56" i="15"/>
  <c r="B55" i="15" s="1"/>
  <c r="AA106" i="28"/>
  <c r="H106" i="28"/>
  <c r="I106" i="28"/>
  <c r="B106" i="28"/>
  <c r="Y107" i="28" s="1"/>
  <c r="K106" i="28"/>
  <c r="Z106" i="28"/>
  <c r="M106" i="28"/>
  <c r="D107" i="28"/>
  <c r="G45" i="8"/>
  <c r="N45" i="8"/>
  <c r="X47" i="8"/>
  <c r="AC14" i="21" l="1"/>
  <c r="AA14" i="21"/>
  <c r="C42" i="9" s="1"/>
  <c r="B21" i="1" s="1"/>
  <c r="U107" i="28"/>
  <c r="AC79" i="21"/>
  <c r="AC102" i="21"/>
  <c r="E107" i="28"/>
  <c r="G107" i="28" s="1"/>
  <c r="S106" i="28"/>
  <c r="C106" i="28"/>
  <c r="F107" i="28"/>
  <c r="AC117" i="21"/>
  <c r="AC53" i="21"/>
  <c r="AB15" i="21"/>
  <c r="AD15" i="21"/>
  <c r="AF15" i="21" s="1"/>
  <c r="AC41" i="21"/>
  <c r="AC5" i="21"/>
  <c r="AC40" i="21"/>
  <c r="AC28" i="21"/>
  <c r="AC38" i="21"/>
  <c r="AC11" i="21"/>
  <c r="AB9" i="21"/>
  <c r="AD9" i="21"/>
  <c r="AF9" i="21" s="1"/>
  <c r="AC72" i="21"/>
  <c r="AC112" i="21"/>
  <c r="AC49" i="21"/>
  <c r="P106" i="28"/>
  <c r="Q106" i="28" s="1"/>
  <c r="O106" i="28" s="1"/>
  <c r="N106" i="28"/>
  <c r="J106" i="28"/>
  <c r="AC13" i="21"/>
  <c r="AC75" i="21"/>
  <c r="E17" i="9"/>
  <c r="Z4" i="21"/>
  <c r="AC22" i="21"/>
  <c r="AC29" i="21"/>
  <c r="AC50" i="21"/>
  <c r="AC77" i="21"/>
  <c r="AC90" i="21"/>
  <c r="AC33" i="21"/>
  <c r="AC8" i="21"/>
  <c r="AC69" i="21"/>
  <c r="T106" i="28"/>
  <c r="W107" i="28" s="1"/>
  <c r="L106" i="28"/>
  <c r="AC116" i="21"/>
  <c r="AC54" i="21"/>
  <c r="AC80" i="21"/>
  <c r="AC32" i="21"/>
  <c r="AC56" i="21"/>
  <c r="AC108" i="21"/>
  <c r="AC39" i="21"/>
  <c r="AC68" i="21"/>
  <c r="AC65" i="21"/>
  <c r="AC66" i="21"/>
  <c r="AC103" i="21"/>
  <c r="AC86" i="21"/>
  <c r="AC64" i="21"/>
  <c r="AC23" i="21"/>
  <c r="AC47" i="21"/>
  <c r="AC119" i="21"/>
  <c r="AC27" i="21"/>
  <c r="AC43" i="21"/>
  <c r="AC74" i="21"/>
  <c r="AC76" i="21"/>
  <c r="AC6" i="21"/>
  <c r="E38" i="9"/>
  <c r="AC67" i="21"/>
  <c r="AC37" i="21"/>
  <c r="AC113" i="21"/>
  <c r="AC61" i="21"/>
  <c r="AC48" i="21"/>
  <c r="AC18" i="21"/>
  <c r="AC96" i="21"/>
  <c r="AC105" i="21"/>
  <c r="AC94" i="21"/>
  <c r="B6" i="15"/>
  <c r="B8" i="15" s="1"/>
  <c r="B10" i="15" s="1"/>
  <c r="E11" i="9" s="1"/>
  <c r="AC85" i="21"/>
  <c r="AC81" i="21"/>
  <c r="AC120" i="21"/>
  <c r="AC57" i="21"/>
  <c r="AC44" i="21"/>
  <c r="AC55" i="21"/>
  <c r="AC73" i="21"/>
  <c r="AC31" i="21"/>
  <c r="AC7" i="21"/>
  <c r="AC10" i="21"/>
  <c r="AC58" i="21"/>
  <c r="AC42" i="21"/>
  <c r="AC52" i="21"/>
  <c r="AC51" i="21"/>
  <c r="AC82" i="21"/>
  <c r="AC62" i="21"/>
  <c r="AC107" i="21"/>
  <c r="AC78" i="21"/>
  <c r="M45" i="8"/>
  <c r="Z46" i="8"/>
  <c r="Y46" i="8"/>
  <c r="AC46" i="8"/>
  <c r="AD46" i="8"/>
  <c r="AE46" i="8"/>
  <c r="AA46" i="8"/>
  <c r="AB46" i="8"/>
  <c r="V45" i="8"/>
  <c r="U45" i="8"/>
  <c r="S45" i="8"/>
  <c r="T45" i="8"/>
  <c r="O46" i="8"/>
  <c r="P47" i="8" s="1"/>
  <c r="X107" i="28" l="1"/>
  <c r="D23" i="18"/>
  <c r="V108" i="28"/>
  <c r="AD81" i="21"/>
  <c r="AF81" i="21" s="1"/>
  <c r="AB81" i="21"/>
  <c r="AD96" i="21"/>
  <c r="AF96" i="21" s="1"/>
  <c r="AB96" i="21"/>
  <c r="AD113" i="21"/>
  <c r="AF113" i="21" s="1"/>
  <c r="AB113" i="21"/>
  <c r="AD27" i="21"/>
  <c r="AF27" i="21" s="1"/>
  <c r="AB27" i="21"/>
  <c r="AD64" i="21"/>
  <c r="AF64" i="21" s="1"/>
  <c r="AB64" i="21"/>
  <c r="AD65" i="21"/>
  <c r="AF65" i="21" s="1"/>
  <c r="AB65" i="21"/>
  <c r="AD29" i="21"/>
  <c r="AF29" i="21" s="1"/>
  <c r="AB29" i="21"/>
  <c r="AB13" i="21"/>
  <c r="AD13" i="21"/>
  <c r="AF13" i="21" s="1"/>
  <c r="AB38" i="21"/>
  <c r="AD38" i="21"/>
  <c r="AF38" i="21" s="1"/>
  <c r="AD28" i="21"/>
  <c r="AF28" i="21" s="1"/>
  <c r="AB28" i="21"/>
  <c r="AB10" i="21"/>
  <c r="AD10" i="21"/>
  <c r="AF10" i="21" s="1"/>
  <c r="AB44" i="21"/>
  <c r="AD44" i="21"/>
  <c r="AF44" i="21" s="1"/>
  <c r="AB18" i="21"/>
  <c r="AD18" i="21"/>
  <c r="AF18" i="21" s="1"/>
  <c r="AD37" i="21"/>
  <c r="AF37" i="21" s="1"/>
  <c r="AB37" i="21"/>
  <c r="AB119" i="21"/>
  <c r="AD119" i="21"/>
  <c r="AF119" i="21" s="1"/>
  <c r="AB86" i="21"/>
  <c r="AD86" i="21"/>
  <c r="AF86" i="21" s="1"/>
  <c r="AD68" i="21"/>
  <c r="AF68" i="21" s="1"/>
  <c r="AB68" i="21"/>
  <c r="AD32" i="21"/>
  <c r="AF32" i="21" s="1"/>
  <c r="AB32" i="21"/>
  <c r="AB90" i="21"/>
  <c r="AD90" i="21"/>
  <c r="AF90" i="21" s="1"/>
  <c r="AD72" i="21"/>
  <c r="AF72" i="21" s="1"/>
  <c r="AB72" i="21"/>
  <c r="AK107" i="28"/>
  <c r="AC107" i="28"/>
  <c r="AL107" i="28"/>
  <c r="AM107" i="28"/>
  <c r="AI107" i="28"/>
  <c r="AJ107" i="28"/>
  <c r="AG107" i="28"/>
  <c r="AE107" i="28"/>
  <c r="AN107" i="28"/>
  <c r="AD107" i="28"/>
  <c r="AO107" i="28"/>
  <c r="AF107" i="28"/>
  <c r="AH107" i="28"/>
  <c r="AD33" i="21"/>
  <c r="AF33" i="21" s="1"/>
  <c r="AB33" i="21"/>
  <c r="AB107" i="21"/>
  <c r="AD107" i="21"/>
  <c r="AF107" i="21" s="1"/>
  <c r="AB62" i="21"/>
  <c r="AD62" i="21"/>
  <c r="AF62" i="21" s="1"/>
  <c r="AB42" i="21"/>
  <c r="AD42" i="21"/>
  <c r="AF42" i="21" s="1"/>
  <c r="AD31" i="21"/>
  <c r="AF31" i="21" s="1"/>
  <c r="AB31" i="21"/>
  <c r="AB57" i="21"/>
  <c r="AD57" i="21"/>
  <c r="AF57" i="21" s="1"/>
  <c r="AB74" i="21"/>
  <c r="AD74" i="21"/>
  <c r="AF74" i="21" s="1"/>
  <c r="AB47" i="21"/>
  <c r="AD47" i="21"/>
  <c r="AF47" i="21" s="1"/>
  <c r="AB80" i="21"/>
  <c r="AD80" i="21"/>
  <c r="AF80" i="21" s="1"/>
  <c r="AD22" i="21"/>
  <c r="AF22" i="21" s="1"/>
  <c r="AB22" i="21"/>
  <c r="AD53" i="21"/>
  <c r="AF53" i="21" s="1"/>
  <c r="AB53" i="21"/>
  <c r="AB107" i="28"/>
  <c r="AD39" i="21"/>
  <c r="AF39" i="21" s="1"/>
  <c r="AB39" i="21"/>
  <c r="AD69" i="21"/>
  <c r="AF69" i="21" s="1"/>
  <c r="AB69" i="21"/>
  <c r="AD77" i="21"/>
  <c r="AF77" i="21" s="1"/>
  <c r="AB77" i="21"/>
  <c r="C44" i="9"/>
  <c r="AB4" i="21"/>
  <c r="AD4" i="21"/>
  <c r="AF4" i="21" s="1"/>
  <c r="AB40" i="21"/>
  <c r="AD40" i="21"/>
  <c r="AF40" i="21" s="1"/>
  <c r="AD102" i="21"/>
  <c r="AF102" i="21" s="1"/>
  <c r="AB102" i="21"/>
  <c r="AB85" i="21"/>
  <c r="AD85" i="21"/>
  <c r="AF85" i="21" s="1"/>
  <c r="AB58" i="21"/>
  <c r="AD58" i="21"/>
  <c r="AF58" i="21" s="1"/>
  <c r="AB94" i="21"/>
  <c r="AD94" i="21"/>
  <c r="AF94" i="21" s="1"/>
  <c r="AD67" i="21"/>
  <c r="AF67" i="21" s="1"/>
  <c r="AB67" i="21"/>
  <c r="AB66" i="21"/>
  <c r="AD66" i="21"/>
  <c r="AF66" i="21" s="1"/>
  <c r="AD54" i="21"/>
  <c r="AF54" i="21" s="1"/>
  <c r="AB54" i="21"/>
  <c r="AB49" i="21"/>
  <c r="AD49" i="21"/>
  <c r="AF49" i="21" s="1"/>
  <c r="AB11" i="21"/>
  <c r="AD11" i="21"/>
  <c r="AF11" i="21" s="1"/>
  <c r="AD5" i="21"/>
  <c r="AF5" i="21" s="1"/>
  <c r="AB5" i="21"/>
  <c r="C43" i="9"/>
  <c r="AB117" i="21"/>
  <c r="AD117" i="21"/>
  <c r="AF117" i="21" s="1"/>
  <c r="AB103" i="21"/>
  <c r="AD103" i="21"/>
  <c r="AF103" i="21" s="1"/>
  <c r="AD73" i="21"/>
  <c r="AF73" i="21" s="1"/>
  <c r="AB73" i="21"/>
  <c r="AB48" i="21"/>
  <c r="AD48" i="21"/>
  <c r="AF48" i="21" s="1"/>
  <c r="AB23" i="21"/>
  <c r="AD23" i="21"/>
  <c r="AF23" i="21" s="1"/>
  <c r="AD105" i="21"/>
  <c r="AF105" i="21" s="1"/>
  <c r="AB105" i="21"/>
  <c r="AB61" i="21"/>
  <c r="AD61" i="21"/>
  <c r="AF61" i="21" s="1"/>
  <c r="B11" i="26"/>
  <c r="E40" i="9"/>
  <c r="B25" i="1" s="1"/>
  <c r="AB108" i="21"/>
  <c r="AD108" i="21"/>
  <c r="AF108" i="21" s="1"/>
  <c r="AD50" i="21"/>
  <c r="AF50" i="21" s="1"/>
  <c r="AB50" i="21"/>
  <c r="AD75" i="21"/>
  <c r="AF75" i="21" s="1"/>
  <c r="AB75" i="21"/>
  <c r="AD79" i="21"/>
  <c r="AF79" i="21" s="1"/>
  <c r="AB79" i="21"/>
  <c r="AD7" i="21"/>
  <c r="AF7" i="21" s="1"/>
  <c r="AB7" i="21"/>
  <c r="AB76" i="21"/>
  <c r="AD76" i="21"/>
  <c r="AF76" i="21" s="1"/>
  <c r="AD52" i="21"/>
  <c r="AF52" i="21" s="1"/>
  <c r="AB52" i="21"/>
  <c r="AB82" i="21"/>
  <c r="AD82" i="21"/>
  <c r="AF82" i="21" s="1"/>
  <c r="AB120" i="21"/>
  <c r="AD120" i="21"/>
  <c r="AF120" i="21" s="1"/>
  <c r="AB43" i="21"/>
  <c r="AD43" i="21"/>
  <c r="AF43" i="21" s="1"/>
  <c r="AD78" i="21"/>
  <c r="AF78" i="21" s="1"/>
  <c r="AB78" i="21"/>
  <c r="AD51" i="21"/>
  <c r="AF51" i="21" s="1"/>
  <c r="AB51" i="21"/>
  <c r="AD55" i="21"/>
  <c r="AF55" i="21" s="1"/>
  <c r="AB55" i="21"/>
  <c r="AD6" i="21"/>
  <c r="AF6" i="21" s="1"/>
  <c r="AB6" i="21"/>
  <c r="AB56" i="21"/>
  <c r="AD56" i="21"/>
  <c r="AF56" i="21" s="1"/>
  <c r="AB116" i="21"/>
  <c r="AD116" i="21"/>
  <c r="AF116" i="21" s="1"/>
  <c r="AD8" i="21"/>
  <c r="AF8" i="21" s="1"/>
  <c r="AB8" i="21"/>
  <c r="AB112" i="21"/>
  <c r="AD112" i="21"/>
  <c r="AF112" i="21" s="1"/>
  <c r="AB41" i="21"/>
  <c r="AD41" i="21"/>
  <c r="AF41" i="21" s="1"/>
  <c r="H45" i="8"/>
  <c r="I45" i="8" s="1"/>
  <c r="J45" i="8" s="1"/>
  <c r="B45" i="8"/>
  <c r="C45" i="8"/>
  <c r="D46" i="8"/>
  <c r="W47" i="8" s="1"/>
  <c r="Q48" i="8"/>
  <c r="R49" i="8" s="1"/>
  <c r="C47" i="9" l="1"/>
  <c r="D24" i="18"/>
  <c r="C45" i="9"/>
  <c r="D45" i="9" s="1"/>
  <c r="AP108" i="28"/>
  <c r="AQ109" i="28" s="1"/>
  <c r="AR110" i="28" s="1"/>
  <c r="AS111" i="28" s="1"/>
  <c r="R112" i="28" s="1"/>
  <c r="F11" i="26"/>
  <c r="D11" i="26"/>
  <c r="H11" i="26" s="1"/>
  <c r="B107" i="28"/>
  <c r="Y108" i="28" s="1"/>
  <c r="K107" i="28"/>
  <c r="I107" i="28"/>
  <c r="Z107" i="28"/>
  <c r="M107" i="28"/>
  <c r="D7" i="9"/>
  <c r="D8" i="9" s="1"/>
  <c r="D108" i="28"/>
  <c r="AA107" i="28"/>
  <c r="H107" i="28"/>
  <c r="C15" i="13"/>
  <c r="B12" i="26"/>
  <c r="G46" i="8"/>
  <c r="K45" i="8"/>
  <c r="L46" i="8"/>
  <c r="N46" i="8"/>
  <c r="E45" i="8"/>
  <c r="F46" i="8" s="1"/>
  <c r="B47" i="1" l="1"/>
  <c r="B67" i="1" s="1"/>
  <c r="B46" i="1"/>
  <c r="B20" i="1"/>
  <c r="B22" i="1" s="1"/>
  <c r="D22" i="18" s="1"/>
  <c r="P107" i="28"/>
  <c r="Q107" i="28" s="1"/>
  <c r="O107" i="28" s="1"/>
  <c r="N107" i="28"/>
  <c r="J107" i="28"/>
  <c r="U108" i="28"/>
  <c r="E108" i="28"/>
  <c r="G108" i="28" s="1"/>
  <c r="F108" i="28"/>
  <c r="C107" i="28"/>
  <c r="S107" i="28"/>
  <c r="F12" i="26"/>
  <c r="D12" i="26"/>
  <c r="H12" i="26" s="1"/>
  <c r="T107" i="28"/>
  <c r="W108" i="28" s="1"/>
  <c r="L107" i="28"/>
  <c r="C17" i="13"/>
  <c r="C16" i="13"/>
  <c r="M46" i="8"/>
  <c r="Y47" i="8"/>
  <c r="AC47" i="8"/>
  <c r="AA47" i="8"/>
  <c r="AB47" i="8"/>
  <c r="AE47" i="8"/>
  <c r="AD47" i="8"/>
  <c r="Z47" i="8"/>
  <c r="X48" i="8"/>
  <c r="O47" i="8"/>
  <c r="P48" i="8" s="1"/>
  <c r="S46" i="8"/>
  <c r="V46" i="8"/>
  <c r="U46" i="8"/>
  <c r="T46" i="8"/>
  <c r="X108" i="28" l="1"/>
  <c r="AM108" i="28"/>
  <c r="AF108" i="28"/>
  <c r="AO108" i="28"/>
  <c r="AJ108" i="28"/>
  <c r="AG108" i="28"/>
  <c r="AI108" i="28"/>
  <c r="AN108" i="28"/>
  <c r="AL108" i="28"/>
  <c r="AK108" i="28"/>
  <c r="AC108" i="28"/>
  <c r="AD108" i="28"/>
  <c r="AH108" i="28"/>
  <c r="AE108" i="28"/>
  <c r="AB108" i="28"/>
  <c r="V109" i="28"/>
  <c r="H46" i="8"/>
  <c r="I46" i="8" s="1"/>
  <c r="J46" i="8" s="1"/>
  <c r="D47" i="8"/>
  <c r="W48" i="8" s="1"/>
  <c r="C46" i="8"/>
  <c r="B46" i="8"/>
  <c r="Q49" i="8"/>
  <c r="R50" i="8" s="1"/>
  <c r="AP109" i="28" l="1"/>
  <c r="AQ110" i="28" s="1"/>
  <c r="AR111" i="28" s="1"/>
  <c r="AS112" i="28" s="1"/>
  <c r="R113" i="28" s="1"/>
  <c r="K108" i="28"/>
  <c r="B108" i="28"/>
  <c r="Y109" i="28" s="1"/>
  <c r="I108" i="28"/>
  <c r="AA108" i="28"/>
  <c r="H108" i="28"/>
  <c r="D109" i="28"/>
  <c r="Z108" i="28"/>
  <c r="M108" i="28"/>
  <c r="X49" i="8"/>
  <c r="G47" i="8"/>
  <c r="K46" i="8"/>
  <c r="L47" i="8"/>
  <c r="N47" i="8"/>
  <c r="E46" i="8"/>
  <c r="F47" i="8" s="1"/>
  <c r="U109" i="28" l="1"/>
  <c r="T108" i="28"/>
  <c r="W109" i="28" s="1"/>
  <c r="L108" i="28"/>
  <c r="P108" i="28"/>
  <c r="Q108" i="28" s="1"/>
  <c r="J108" i="28"/>
  <c r="N108" i="28"/>
  <c r="F109" i="28"/>
  <c r="C108" i="28"/>
  <c r="S108" i="28"/>
  <c r="E109" i="28"/>
  <c r="G109" i="28" s="1"/>
  <c r="M47" i="8"/>
  <c r="O48" i="8"/>
  <c r="P49" i="8" s="1"/>
  <c r="S47" i="8"/>
  <c r="V47" i="8"/>
  <c r="T47" i="8"/>
  <c r="U47" i="8"/>
  <c r="Y48" i="8"/>
  <c r="Z48" i="8"/>
  <c r="AE48" i="8"/>
  <c r="AB48" i="8"/>
  <c r="AC48" i="8"/>
  <c r="AA48" i="8"/>
  <c r="AD48" i="8"/>
  <c r="AN109" i="28" l="1"/>
  <c r="AG109" i="28"/>
  <c r="AJ109" i="28"/>
  <c r="AL109" i="28"/>
  <c r="AD109" i="28"/>
  <c r="AE109" i="28"/>
  <c r="AF109" i="28"/>
  <c r="AK109" i="28"/>
  <c r="AM109" i="28"/>
  <c r="AH109" i="28"/>
  <c r="AO109" i="28"/>
  <c r="AC109" i="28"/>
  <c r="AI109" i="28"/>
  <c r="O108" i="28"/>
  <c r="AB109" i="28"/>
  <c r="X109" i="28"/>
  <c r="H47" i="8"/>
  <c r="D48" i="8"/>
  <c r="W49" i="8" s="1"/>
  <c r="B47" i="8"/>
  <c r="C47" i="8"/>
  <c r="I47" i="8"/>
  <c r="J47" i="8" s="1"/>
  <c r="Q50" i="8"/>
  <c r="R51" i="8" s="1"/>
  <c r="I109" i="28" l="1"/>
  <c r="B109" i="28"/>
  <c r="Y110" i="28" s="1"/>
  <c r="K109" i="28"/>
  <c r="Z109" i="28"/>
  <c r="M109" i="28"/>
  <c r="AA109" i="28"/>
  <c r="H109" i="28"/>
  <c r="D110" i="28"/>
  <c r="V110" i="28"/>
  <c r="AP110" i="28"/>
  <c r="AQ111" i="28" s="1"/>
  <c r="AR112" i="28" s="1"/>
  <c r="AS113" i="28" s="1"/>
  <c r="R114" i="28" s="1"/>
  <c r="K47" i="8"/>
  <c r="L48" i="8"/>
  <c r="G48" i="8"/>
  <c r="N48" i="8"/>
  <c r="E47" i="8"/>
  <c r="F48" i="8" s="1"/>
  <c r="U110" i="28" l="1"/>
  <c r="E110" i="28"/>
  <c r="G110" i="28" s="1"/>
  <c r="F110" i="28"/>
  <c r="S109" i="28"/>
  <c r="C109" i="28"/>
  <c r="T109" i="28"/>
  <c r="W110" i="28" s="1"/>
  <c r="X110" i="28" s="1"/>
  <c r="L109" i="28"/>
  <c r="P109" i="28"/>
  <c r="Q109" i="28" s="1"/>
  <c r="J109" i="28"/>
  <c r="N109" i="28"/>
  <c r="M48" i="8"/>
  <c r="O49" i="8"/>
  <c r="P50" i="8" s="1"/>
  <c r="X50" i="8"/>
  <c r="S48" i="8"/>
  <c r="U48" i="8"/>
  <c r="V48" i="8"/>
  <c r="T48" i="8"/>
  <c r="Y49" i="8"/>
  <c r="AE49" i="8"/>
  <c r="AD49" i="8"/>
  <c r="AB49" i="8"/>
  <c r="AC49" i="8"/>
  <c r="Z49" i="8"/>
  <c r="AA49" i="8"/>
  <c r="O109" i="28" l="1"/>
  <c r="V111" i="28"/>
  <c r="AE110" i="28"/>
  <c r="AH110" i="28"/>
  <c r="AM110" i="28"/>
  <c r="AG110" i="28"/>
  <c r="AN110" i="28"/>
  <c r="AD110" i="28"/>
  <c r="AL110" i="28"/>
  <c r="AI110" i="28"/>
  <c r="AO110" i="28"/>
  <c r="AK110" i="28"/>
  <c r="AF110" i="28"/>
  <c r="AJ110" i="28"/>
  <c r="AC110" i="28"/>
  <c r="AB110" i="28"/>
  <c r="H48" i="8"/>
  <c r="D49" i="8"/>
  <c r="W50" i="8" s="1"/>
  <c r="B48" i="8"/>
  <c r="Q51" i="8"/>
  <c r="R52" i="8" s="1"/>
  <c r="C48" i="8"/>
  <c r="I48" i="8"/>
  <c r="J48" i="8" s="1"/>
  <c r="AP111" i="28" l="1"/>
  <c r="AQ112" i="28" s="1"/>
  <c r="AR113" i="28" s="1"/>
  <c r="AS114" i="28" s="1"/>
  <c r="R115" i="28" s="1"/>
  <c r="Z110" i="28"/>
  <c r="M110" i="28"/>
  <c r="I110" i="28"/>
  <c r="K110" i="28"/>
  <c r="B110" i="28"/>
  <c r="Y111" i="28" s="1"/>
  <c r="D111" i="28"/>
  <c r="AA110" i="28"/>
  <c r="U111" i="28" s="1"/>
  <c r="H110" i="28"/>
  <c r="K48" i="8"/>
  <c r="L49" i="8"/>
  <c r="G49" i="8"/>
  <c r="N49" i="8"/>
  <c r="M49" i="8" s="1"/>
  <c r="E48" i="8"/>
  <c r="F49" i="8" s="1"/>
  <c r="F111" i="28" l="1"/>
  <c r="E111" i="28"/>
  <c r="G111" i="28" s="1"/>
  <c r="C110" i="28"/>
  <c r="S110" i="28"/>
  <c r="P110" i="28"/>
  <c r="Q110" i="28" s="1"/>
  <c r="J110" i="28"/>
  <c r="N110" i="28"/>
  <c r="T110" i="28"/>
  <c r="W111" i="28" s="1"/>
  <c r="X111" i="28" s="1"/>
  <c r="L110" i="28"/>
  <c r="S49" i="8"/>
  <c r="U49" i="8"/>
  <c r="V49" i="8"/>
  <c r="T49" i="8"/>
  <c r="O50" i="8"/>
  <c r="P51" i="8" s="1"/>
  <c r="Y50" i="8"/>
  <c r="AD50" i="8"/>
  <c r="AC50" i="8"/>
  <c r="AA50" i="8"/>
  <c r="AB50" i="8"/>
  <c r="AE50" i="8"/>
  <c r="Z50" i="8"/>
  <c r="X51" i="8"/>
  <c r="V112" i="28" l="1"/>
  <c r="O110" i="28"/>
  <c r="AB111" i="28"/>
  <c r="AF111" i="28"/>
  <c r="AL111" i="28"/>
  <c r="AI111" i="28"/>
  <c r="AM111" i="28"/>
  <c r="AJ111" i="28"/>
  <c r="AN111" i="28"/>
  <c r="AK111" i="28"/>
  <c r="AE111" i="28"/>
  <c r="AH111" i="28"/>
  <c r="AO111" i="28"/>
  <c r="AP112" i="28" s="1"/>
  <c r="AQ113" i="28" s="1"/>
  <c r="AR114" i="28" s="1"/>
  <c r="AS115" i="28" s="1"/>
  <c r="AG111" i="28"/>
  <c r="AD111" i="28"/>
  <c r="AC111" i="28"/>
  <c r="H49" i="8"/>
  <c r="B49" i="8"/>
  <c r="Q52" i="8"/>
  <c r="R53" i="8" s="1"/>
  <c r="D50" i="8"/>
  <c r="W51" i="8" s="1"/>
  <c r="C49" i="8"/>
  <c r="I49" i="8"/>
  <c r="J49" i="8" s="1"/>
  <c r="AA111" i="28" l="1"/>
  <c r="H111" i="28"/>
  <c r="D112" i="28"/>
  <c r="Z111" i="28"/>
  <c r="M111" i="28"/>
  <c r="K111" i="28"/>
  <c r="B111" i="28"/>
  <c r="Y112" i="28" s="1"/>
  <c r="I111" i="28"/>
  <c r="G50" i="8"/>
  <c r="K49" i="8"/>
  <c r="L50" i="8"/>
  <c r="N50" i="8"/>
  <c r="M50" i="8" s="1"/>
  <c r="E49" i="8"/>
  <c r="F50" i="8" s="1"/>
  <c r="T111" i="28" l="1"/>
  <c r="W112" i="28" s="1"/>
  <c r="L111" i="28"/>
  <c r="P111" i="28"/>
  <c r="Q111" i="28" s="1"/>
  <c r="O111" i="28" s="1"/>
  <c r="N111" i="28"/>
  <c r="J111" i="28"/>
  <c r="U112" i="28"/>
  <c r="X112" i="28" s="1"/>
  <c r="F112" i="28"/>
  <c r="C111" i="28"/>
  <c r="S111" i="28"/>
  <c r="E112" i="28"/>
  <c r="G112" i="28" s="1"/>
  <c r="O51" i="8"/>
  <c r="P52" i="8" s="1"/>
  <c r="S50" i="8"/>
  <c r="U50" i="8"/>
  <c r="T50" i="8"/>
  <c r="V50" i="8"/>
  <c r="X52" i="8"/>
  <c r="Y51" i="8"/>
  <c r="AA51" i="8"/>
  <c r="AE51" i="8"/>
  <c r="AB51" i="8"/>
  <c r="AD51" i="8"/>
  <c r="Z51" i="8"/>
  <c r="AC51" i="8"/>
  <c r="V113" i="28" l="1"/>
  <c r="AI112" i="28"/>
  <c r="AN112" i="28"/>
  <c r="AM112" i="28"/>
  <c r="AL112" i="28"/>
  <c r="AF112" i="28"/>
  <c r="AO112" i="28"/>
  <c r="AJ112" i="28"/>
  <c r="AE112" i="28"/>
  <c r="AD112" i="28"/>
  <c r="AK112" i="28"/>
  <c r="AG112" i="28"/>
  <c r="AH112" i="28"/>
  <c r="AC112" i="28"/>
  <c r="AB112" i="28"/>
  <c r="H50" i="8"/>
  <c r="I50" i="8" s="1"/>
  <c r="J50" i="8" s="1"/>
  <c r="D51" i="8"/>
  <c r="W52" i="8" s="1"/>
  <c r="C50" i="8"/>
  <c r="Q53" i="8"/>
  <c r="R54" i="8" s="1"/>
  <c r="B50" i="8"/>
  <c r="Z112" i="28" l="1"/>
  <c r="M112" i="28"/>
  <c r="K112" i="28"/>
  <c r="B112" i="28"/>
  <c r="Y113" i="28" s="1"/>
  <c r="I112" i="28"/>
  <c r="AP113" i="28"/>
  <c r="AQ114" i="28" s="1"/>
  <c r="AR115" i="28" s="1"/>
  <c r="H112" i="28"/>
  <c r="AA112" i="28"/>
  <c r="D113" i="28"/>
  <c r="X53" i="8"/>
  <c r="G51" i="8"/>
  <c r="K50" i="8"/>
  <c r="L51" i="8"/>
  <c r="N51" i="8"/>
  <c r="M51" i="8" s="1"/>
  <c r="E50" i="8"/>
  <c r="F51" i="8" s="1"/>
  <c r="E113" i="28" l="1"/>
  <c r="G113" i="28" s="1"/>
  <c r="C112" i="28"/>
  <c r="S112" i="28"/>
  <c r="F113" i="28"/>
  <c r="T112" i="28"/>
  <c r="W113" i="28" s="1"/>
  <c r="L112" i="28"/>
  <c r="P112" i="28"/>
  <c r="Q112" i="28" s="1"/>
  <c r="N112" i="28"/>
  <c r="J112" i="28"/>
  <c r="U113" i="28"/>
  <c r="Y52" i="8"/>
  <c r="AE52" i="8"/>
  <c r="AD52" i="8"/>
  <c r="AC52" i="8"/>
  <c r="AA52" i="8"/>
  <c r="Z52" i="8"/>
  <c r="AB52" i="8"/>
  <c r="O52" i="8"/>
  <c r="P53" i="8" s="1"/>
  <c r="S51" i="8"/>
  <c r="T51" i="8"/>
  <c r="U51" i="8"/>
  <c r="V51" i="8"/>
  <c r="O112" i="28" l="1"/>
  <c r="X113" i="28"/>
  <c r="AB113" i="28"/>
  <c r="AH113" i="28"/>
  <c r="AE113" i="28"/>
  <c r="AK113" i="28"/>
  <c r="AL113" i="28"/>
  <c r="AO113" i="28"/>
  <c r="AM113" i="28"/>
  <c r="AN113" i="28"/>
  <c r="AI113" i="28"/>
  <c r="AF113" i="28"/>
  <c r="AC113" i="28"/>
  <c r="AG113" i="28"/>
  <c r="AJ113" i="28"/>
  <c r="AD113" i="28"/>
  <c r="H51" i="8"/>
  <c r="I51" i="8" s="1"/>
  <c r="J51" i="8" s="1"/>
  <c r="C51" i="8"/>
  <c r="B51" i="8"/>
  <c r="Q54" i="8"/>
  <c r="R55" i="8" s="1"/>
  <c r="D52" i="8"/>
  <c r="W53" i="8" s="1"/>
  <c r="H113" i="28" l="1"/>
  <c r="AA113" i="28"/>
  <c r="D114" i="28"/>
  <c r="I113" i="28"/>
  <c r="B113" i="28"/>
  <c r="Y114" i="28" s="1"/>
  <c r="K113" i="28"/>
  <c r="Z113" i="28"/>
  <c r="M113" i="28"/>
  <c r="AP114" i="28"/>
  <c r="AQ115" i="28" s="1"/>
  <c r="V114" i="28"/>
  <c r="G52" i="8"/>
  <c r="K51" i="8"/>
  <c r="L52" i="8"/>
  <c r="N52" i="8"/>
  <c r="M52" i="8" s="1"/>
  <c r="E51" i="8"/>
  <c r="F52" i="8" s="1"/>
  <c r="U114" i="28" l="1"/>
  <c r="T113" i="28"/>
  <c r="W114" i="28" s="1"/>
  <c r="L113" i="28"/>
  <c r="S113" i="28"/>
  <c r="E114" i="28"/>
  <c r="G114" i="28" s="1"/>
  <c r="O113" i="28"/>
  <c r="C113" i="28"/>
  <c r="F114" i="28"/>
  <c r="P113" i="28"/>
  <c r="Q113" i="28" s="1"/>
  <c r="J113" i="28"/>
  <c r="N113" i="28"/>
  <c r="S52" i="8"/>
  <c r="U52" i="8"/>
  <c r="T52" i="8"/>
  <c r="V52" i="8"/>
  <c r="X54" i="8"/>
  <c r="O53" i="8"/>
  <c r="P54" i="8" s="1"/>
  <c r="Y53" i="8"/>
  <c r="AA53" i="8"/>
  <c r="AB53" i="8"/>
  <c r="AC53" i="8"/>
  <c r="AD53" i="8"/>
  <c r="Z53" i="8"/>
  <c r="AE53" i="8"/>
  <c r="AB114" i="28" l="1"/>
  <c r="AF114" i="28"/>
  <c r="AH114" i="28"/>
  <c r="AL114" i="28"/>
  <c r="AD114" i="28"/>
  <c r="AJ114" i="28"/>
  <c r="AG114" i="28"/>
  <c r="AE114" i="28"/>
  <c r="AO114" i="28"/>
  <c r="AI114" i="28"/>
  <c r="AC114" i="28"/>
  <c r="AM114" i="28"/>
  <c r="AK114" i="28"/>
  <c r="AN114" i="28"/>
  <c r="AP115" i="28" s="1"/>
  <c r="X114" i="28"/>
  <c r="H52" i="8"/>
  <c r="I52" i="8" s="1"/>
  <c r="J52" i="8" s="1"/>
  <c r="Q55" i="8"/>
  <c r="R56" i="8" s="1"/>
  <c r="D53" i="8"/>
  <c r="W54" i="8" s="1"/>
  <c r="B52" i="8"/>
  <c r="C52" i="8"/>
  <c r="V115" i="28" l="1"/>
  <c r="H114" i="28"/>
  <c r="AA114" i="28"/>
  <c r="M114" i="28"/>
  <c r="Z114" i="28"/>
  <c r="I114" i="28"/>
  <c r="B114" i="28"/>
  <c r="Y115" i="28" s="1"/>
  <c r="K114" i="28"/>
  <c r="D115" i="28"/>
  <c r="G53" i="8"/>
  <c r="K52" i="8"/>
  <c r="L53" i="8"/>
  <c r="N53" i="8"/>
  <c r="M53" i="8" s="1"/>
  <c r="E52" i="8"/>
  <c r="F53" i="8" s="1"/>
  <c r="U115" i="28" l="1"/>
  <c r="T114" i="28"/>
  <c r="W115" i="28" s="1"/>
  <c r="L114" i="28"/>
  <c r="P114" i="28"/>
  <c r="N114" i="28"/>
  <c r="J114" i="28"/>
  <c r="E115" i="28"/>
  <c r="G115" i="28" s="1"/>
  <c r="S114" i="28"/>
  <c r="C114" i="28"/>
  <c r="F115" i="28"/>
  <c r="X55" i="8"/>
  <c r="Y54" i="8"/>
  <c r="AB54" i="8"/>
  <c r="AA54" i="8"/>
  <c r="AC54" i="8"/>
  <c r="Z54" i="8"/>
  <c r="AE54" i="8"/>
  <c r="AD54" i="8"/>
  <c r="S53" i="8"/>
  <c r="U53" i="8"/>
  <c r="V53" i="8"/>
  <c r="T53" i="8"/>
  <c r="O54" i="8"/>
  <c r="P55" i="8" s="1"/>
  <c r="X115" i="28" l="1"/>
  <c r="AB115" i="28"/>
  <c r="D6" i="24"/>
  <c r="Q114" i="28"/>
  <c r="AH115" i="28"/>
  <c r="AG115" i="28"/>
  <c r="AD115" i="28"/>
  <c r="AO115" i="28"/>
  <c r="AF115" i="28"/>
  <c r="AJ115" i="28"/>
  <c r="AK115" i="28"/>
  <c r="AC115" i="28"/>
  <c r="AL115" i="28"/>
  <c r="AM115" i="28"/>
  <c r="AN115" i="28"/>
  <c r="AI115" i="28"/>
  <c r="AE115" i="28"/>
  <c r="H53" i="8"/>
  <c r="I53" i="8" s="1"/>
  <c r="J53" i="8" s="1"/>
  <c r="C53" i="8"/>
  <c r="L54" i="8" s="1"/>
  <c r="Q56" i="8"/>
  <c r="R57" i="8" s="1"/>
  <c r="D54" i="8"/>
  <c r="W55" i="8" s="1"/>
  <c r="B53" i="8"/>
  <c r="O114" i="28" l="1"/>
  <c r="H115" i="28"/>
  <c r="AA115" i="28"/>
  <c r="Z115" i="28"/>
  <c r="M115" i="28"/>
  <c r="K115" i="28"/>
  <c r="I115" i="28"/>
  <c r="B115" i="28"/>
  <c r="C17" i="6"/>
  <c r="D17" i="6"/>
  <c r="G54" i="8"/>
  <c r="K53" i="8"/>
  <c r="N54" i="8"/>
  <c r="M54" i="8" s="1"/>
  <c r="E53" i="8"/>
  <c r="F54" i="8" s="1"/>
  <c r="T115" i="28" l="1"/>
  <c r="L115" i="28"/>
  <c r="K16" i="6"/>
  <c r="K18" i="6" s="1"/>
  <c r="S115" i="28"/>
  <c r="D7" i="24" s="1"/>
  <c r="C115" i="28"/>
  <c r="P115" i="28"/>
  <c r="N115" i="28"/>
  <c r="J115" i="28"/>
  <c r="D5" i="24"/>
  <c r="X56" i="8"/>
  <c r="O55" i="8"/>
  <c r="P56" i="8" s="1"/>
  <c r="S54" i="8"/>
  <c r="V54" i="8"/>
  <c r="U54" i="8"/>
  <c r="T54" i="8"/>
  <c r="Y55" i="8"/>
  <c r="AC55" i="8"/>
  <c r="AB55" i="8"/>
  <c r="Z55" i="8"/>
  <c r="AE55" i="8"/>
  <c r="AD55" i="8"/>
  <c r="AA55" i="8"/>
  <c r="C24" i="6" l="1"/>
  <c r="Q115" i="28"/>
  <c r="O115" i="28" s="1"/>
  <c r="D24" i="6"/>
  <c r="D8" i="24"/>
  <c r="D4" i="24"/>
  <c r="H54" i="8"/>
  <c r="I54" i="8" s="1"/>
  <c r="J54" i="8" s="1"/>
  <c r="B54" i="8"/>
  <c r="C54" i="8"/>
  <c r="D55" i="8"/>
  <c r="W56" i="8" s="1"/>
  <c r="Q57" i="8"/>
  <c r="R58" i="8" s="1"/>
  <c r="C22" i="6" l="1"/>
  <c r="D22" i="6"/>
  <c r="D23" i="6"/>
  <c r="C23" i="6"/>
  <c r="F23" i="6" s="1"/>
  <c r="F24" i="6"/>
  <c r="B16" i="1"/>
  <c r="G55" i="8"/>
  <c r="K54" i="8"/>
  <c r="L55" i="8"/>
  <c r="N55" i="8"/>
  <c r="M55" i="8" s="1"/>
  <c r="E54" i="8"/>
  <c r="F55" i="8" s="1"/>
  <c r="E22" i="6" l="1"/>
  <c r="B15" i="1"/>
  <c r="B23" i="1" s="1"/>
  <c r="F22" i="6"/>
  <c r="F25" i="6" s="1"/>
  <c r="AN5" i="6" s="1"/>
  <c r="X57" i="8"/>
  <c r="Y56" i="8"/>
  <c r="AD56" i="8"/>
  <c r="AB56" i="8"/>
  <c r="AE56" i="8"/>
  <c r="AA56" i="8"/>
  <c r="Z56" i="8"/>
  <c r="AC56" i="8"/>
  <c r="O56" i="8"/>
  <c r="P57" i="8" s="1"/>
  <c r="S55" i="8"/>
  <c r="U55" i="8"/>
  <c r="V55" i="8"/>
  <c r="T55" i="8"/>
  <c r="B29" i="1" l="1"/>
  <c r="H21" i="1" s="1"/>
  <c r="J129" i="21"/>
  <c r="G129" i="21" s="1"/>
  <c r="G127" i="21" s="1"/>
  <c r="S127" i="21" s="1"/>
  <c r="Q127" i="21" s="1"/>
  <c r="D21" i="18"/>
  <c r="H55" i="8"/>
  <c r="I55" i="8" s="1"/>
  <c r="J55" i="8" s="1"/>
  <c r="D56" i="8"/>
  <c r="W57" i="8" s="1"/>
  <c r="C55" i="8"/>
  <c r="Q58" i="8"/>
  <c r="R59" i="8" s="1"/>
  <c r="B55" i="8"/>
  <c r="H24" i="1" l="1"/>
  <c r="H26" i="1"/>
  <c r="H27" i="1"/>
  <c r="H25" i="1"/>
  <c r="H22" i="1"/>
  <c r="H23" i="1"/>
  <c r="E34" i="18"/>
  <c r="E38" i="18" s="1"/>
  <c r="B4" i="1"/>
  <c r="B5" i="1" s="1"/>
  <c r="B10" i="26"/>
  <c r="G56" i="8"/>
  <c r="K55" i="8"/>
  <c r="L56" i="8"/>
  <c r="N56" i="8"/>
  <c r="M56" i="8" s="1"/>
  <c r="E55" i="8"/>
  <c r="F56" i="8" s="1"/>
  <c r="M18" i="19" l="1"/>
  <c r="M20" i="19"/>
  <c r="M17" i="19"/>
  <c r="M21" i="19"/>
  <c r="M19" i="19"/>
  <c r="M22" i="19"/>
  <c r="M23" i="19"/>
  <c r="M24" i="19"/>
  <c r="M26" i="19"/>
  <c r="M25" i="19"/>
  <c r="M27" i="19"/>
  <c r="M28" i="19"/>
  <c r="M29" i="19"/>
  <c r="M30" i="19"/>
  <c r="M31" i="19"/>
  <c r="M33" i="19"/>
  <c r="M32" i="19"/>
  <c r="M34" i="19"/>
  <c r="M35" i="19"/>
  <c r="M36" i="19"/>
  <c r="M37" i="19"/>
  <c r="M38" i="19"/>
  <c r="M39" i="19"/>
  <c r="M41" i="19"/>
  <c r="M40" i="19"/>
  <c r="M42" i="19"/>
  <c r="M43" i="19"/>
  <c r="M44" i="19"/>
  <c r="M45" i="19"/>
  <c r="M46" i="19"/>
  <c r="M47" i="19"/>
  <c r="M48" i="19"/>
  <c r="O19" i="19"/>
  <c r="O28" i="19"/>
  <c r="O60" i="19"/>
  <c r="O17" i="19"/>
  <c r="O24" i="19"/>
  <c r="O27" i="19"/>
  <c r="O30" i="19"/>
  <c r="O33" i="19"/>
  <c r="O40" i="19"/>
  <c r="O43" i="19"/>
  <c r="O46" i="19"/>
  <c r="O49" i="19"/>
  <c r="O56" i="19"/>
  <c r="O59" i="19"/>
  <c r="O62" i="19"/>
  <c r="O65" i="19"/>
  <c r="O72" i="19"/>
  <c r="O75" i="19"/>
  <c r="O32" i="19"/>
  <c r="O38" i="19"/>
  <c r="O51" i="19"/>
  <c r="O57" i="19"/>
  <c r="O64" i="19"/>
  <c r="O73" i="19"/>
  <c r="O37" i="19"/>
  <c r="O44" i="19"/>
  <c r="O53" i="19"/>
  <c r="O76" i="19"/>
  <c r="O20" i="19"/>
  <c r="O23" i="19"/>
  <c r="O26" i="19"/>
  <c r="O29" i="19"/>
  <c r="O36" i="19"/>
  <c r="O39" i="19"/>
  <c r="O42" i="19"/>
  <c r="O45" i="19"/>
  <c r="O52" i="19"/>
  <c r="O55" i="19"/>
  <c r="O58" i="19"/>
  <c r="O61" i="19"/>
  <c r="O68" i="19"/>
  <c r="O71" i="19"/>
  <c r="O74" i="19"/>
  <c r="O77" i="19"/>
  <c r="O22" i="19"/>
  <c r="O35" i="19"/>
  <c r="O41" i="19"/>
  <c r="O54" i="19"/>
  <c r="O70" i="19"/>
  <c r="O50" i="19"/>
  <c r="O66" i="19"/>
  <c r="O25" i="19"/>
  <c r="O48" i="19"/>
  <c r="O67" i="19"/>
  <c r="O21" i="19"/>
  <c r="O47" i="19"/>
  <c r="O18" i="19"/>
  <c r="O31" i="19"/>
  <c r="O34" i="19"/>
  <c r="O63" i="19"/>
  <c r="O69" i="19"/>
  <c r="Q28" i="19"/>
  <c r="Q44" i="19"/>
  <c r="Q60" i="19"/>
  <c r="Q76" i="19"/>
  <c r="Q29" i="19"/>
  <c r="Q55" i="19"/>
  <c r="Q74" i="19"/>
  <c r="Q73" i="19"/>
  <c r="Q18" i="19"/>
  <c r="Q21" i="19"/>
  <c r="Q31" i="19"/>
  <c r="Q34" i="19"/>
  <c r="Q37" i="19"/>
  <c r="Q47" i="19"/>
  <c r="Q50" i="19"/>
  <c r="Q53" i="19"/>
  <c r="Q63" i="19"/>
  <c r="Q66" i="19"/>
  <c r="Q69" i="19"/>
  <c r="Q42" i="19"/>
  <c r="Q77" i="19"/>
  <c r="Q25" i="19"/>
  <c r="Q24" i="19"/>
  <c r="Q40" i="19"/>
  <c r="Q56" i="19"/>
  <c r="Q72" i="19"/>
  <c r="Q26" i="19"/>
  <c r="Q45" i="19"/>
  <c r="Q22" i="19"/>
  <c r="Q67" i="19"/>
  <c r="Q17" i="19"/>
  <c r="Q27" i="19"/>
  <c r="Q30" i="19"/>
  <c r="Q33" i="19"/>
  <c r="Q43" i="19"/>
  <c r="Q46" i="19"/>
  <c r="Q49" i="19"/>
  <c r="Q59" i="19"/>
  <c r="Q62" i="19"/>
  <c r="Q65" i="19"/>
  <c r="Q75" i="19"/>
  <c r="Q23" i="19"/>
  <c r="Q70" i="19"/>
  <c r="Q20" i="19"/>
  <c r="Q36" i="19"/>
  <c r="Q52" i="19"/>
  <c r="Q68" i="19"/>
  <c r="Q39" i="19"/>
  <c r="Q58" i="19"/>
  <c r="Q61" i="19"/>
  <c r="Q71" i="19"/>
  <c r="Q38" i="19"/>
  <c r="Q51" i="19"/>
  <c r="Q57" i="19"/>
  <c r="Q32" i="19"/>
  <c r="Q48" i="19"/>
  <c r="Q64" i="19"/>
  <c r="Q19" i="19"/>
  <c r="Q35" i="19"/>
  <c r="Q41" i="19"/>
  <c r="Q54" i="19"/>
  <c r="R19" i="19"/>
  <c r="R22" i="19"/>
  <c r="R25" i="19"/>
  <c r="R35" i="19"/>
  <c r="R38" i="19"/>
  <c r="R41" i="19"/>
  <c r="R51" i="19"/>
  <c r="R54" i="19"/>
  <c r="R57" i="19"/>
  <c r="R67" i="19"/>
  <c r="R70" i="19"/>
  <c r="R73" i="19"/>
  <c r="R36" i="19"/>
  <c r="R28" i="19"/>
  <c r="R44" i="19"/>
  <c r="R60" i="19"/>
  <c r="R76" i="19"/>
  <c r="R18" i="19"/>
  <c r="R21" i="19"/>
  <c r="R31" i="19"/>
  <c r="R34" i="19"/>
  <c r="R37" i="19"/>
  <c r="R47" i="19"/>
  <c r="R50" i="19"/>
  <c r="R53" i="19"/>
  <c r="R63" i="19"/>
  <c r="R66" i="19"/>
  <c r="R69" i="19"/>
  <c r="R68" i="19"/>
  <c r="R24" i="19"/>
  <c r="R40" i="19"/>
  <c r="R56" i="19"/>
  <c r="R72" i="19"/>
  <c r="R20" i="19"/>
  <c r="R17" i="19"/>
  <c r="R27" i="19"/>
  <c r="R30" i="19"/>
  <c r="R33" i="19"/>
  <c r="R43" i="19"/>
  <c r="R46" i="19"/>
  <c r="R49" i="19"/>
  <c r="R59" i="19"/>
  <c r="R62" i="19"/>
  <c r="R65" i="19"/>
  <c r="R75" i="19"/>
  <c r="R52" i="19"/>
  <c r="R64" i="19"/>
  <c r="R23" i="19"/>
  <c r="R26" i="19"/>
  <c r="R29" i="19"/>
  <c r="R39" i="19"/>
  <c r="R42" i="19"/>
  <c r="R45" i="19"/>
  <c r="R55" i="19"/>
  <c r="R58" i="19"/>
  <c r="R61" i="19"/>
  <c r="R71" i="19"/>
  <c r="R74" i="19"/>
  <c r="R77" i="19"/>
  <c r="R32" i="19"/>
  <c r="R48" i="19"/>
  <c r="H29" i="1"/>
  <c r="P78" i="19"/>
  <c r="P79" i="19"/>
  <c r="P80" i="19"/>
  <c r="P81" i="19"/>
  <c r="P82" i="19"/>
  <c r="P83" i="19"/>
  <c r="P84" i="19"/>
  <c r="P85" i="19"/>
  <c r="P86" i="19"/>
  <c r="P87" i="19"/>
  <c r="P88" i="19"/>
  <c r="P89" i="19"/>
  <c r="P90" i="19"/>
  <c r="P91" i="19"/>
  <c r="P92" i="19"/>
  <c r="P93" i="19"/>
  <c r="P94" i="19"/>
  <c r="P95" i="19"/>
  <c r="P96" i="19"/>
  <c r="P97" i="19"/>
  <c r="P98" i="19"/>
  <c r="P99" i="19"/>
  <c r="P100" i="19"/>
  <c r="P101" i="19"/>
  <c r="P102" i="19"/>
  <c r="P103" i="19"/>
  <c r="P104" i="19"/>
  <c r="P105" i="19"/>
  <c r="P106" i="19"/>
  <c r="P107" i="19"/>
  <c r="P108" i="19"/>
  <c r="P109" i="19"/>
  <c r="P110" i="19"/>
  <c r="P111" i="19"/>
  <c r="P112" i="19"/>
  <c r="P113" i="19"/>
  <c r="P114" i="19"/>
  <c r="P115" i="19"/>
  <c r="P116" i="19"/>
  <c r="P117" i="19"/>
  <c r="P118" i="19"/>
  <c r="P119" i="19"/>
  <c r="P120" i="19"/>
  <c r="P121" i="19"/>
  <c r="P122" i="19"/>
  <c r="P123" i="19"/>
  <c r="P124" i="19"/>
  <c r="P125" i="19"/>
  <c r="P126" i="19"/>
  <c r="P127" i="19"/>
  <c r="P128" i="19"/>
  <c r="P129" i="19"/>
  <c r="P130" i="19"/>
  <c r="P131" i="19"/>
  <c r="P132" i="19"/>
  <c r="P133" i="19"/>
  <c r="P134" i="19"/>
  <c r="P135" i="19"/>
  <c r="P136" i="19"/>
  <c r="P137" i="19"/>
  <c r="P138" i="19"/>
  <c r="S78" i="19"/>
  <c r="S79" i="19"/>
  <c r="S80" i="19"/>
  <c r="S81" i="19"/>
  <c r="S82" i="19"/>
  <c r="S83" i="19"/>
  <c r="S84" i="19"/>
  <c r="S85" i="19"/>
  <c r="S86" i="19"/>
  <c r="S87" i="19"/>
  <c r="S88" i="19"/>
  <c r="S89" i="19"/>
  <c r="S90" i="19"/>
  <c r="S91" i="19"/>
  <c r="S92" i="19"/>
  <c r="S93" i="19"/>
  <c r="S94" i="19"/>
  <c r="S95" i="19"/>
  <c r="S96" i="19"/>
  <c r="S97" i="19"/>
  <c r="S98" i="19"/>
  <c r="S99" i="19"/>
  <c r="S100" i="19"/>
  <c r="S101" i="19"/>
  <c r="S102" i="19"/>
  <c r="S103" i="19"/>
  <c r="S104" i="19"/>
  <c r="S105" i="19"/>
  <c r="S106" i="19"/>
  <c r="S107" i="19"/>
  <c r="S108" i="19"/>
  <c r="S109" i="19"/>
  <c r="S110" i="19"/>
  <c r="S111" i="19"/>
  <c r="S112" i="19"/>
  <c r="S113" i="19"/>
  <c r="S114" i="19"/>
  <c r="S115" i="19"/>
  <c r="S116" i="19"/>
  <c r="S117" i="19"/>
  <c r="S118" i="19"/>
  <c r="S119" i="19"/>
  <c r="S120" i="19"/>
  <c r="S121" i="19"/>
  <c r="S122" i="19"/>
  <c r="S123" i="19"/>
  <c r="S124" i="19"/>
  <c r="S125" i="19"/>
  <c r="S126" i="19"/>
  <c r="S127" i="19"/>
  <c r="S128" i="19"/>
  <c r="S129" i="19"/>
  <c r="S130" i="19"/>
  <c r="S131" i="19"/>
  <c r="S132" i="19"/>
  <c r="S133" i="19"/>
  <c r="S134" i="19"/>
  <c r="S135" i="19"/>
  <c r="S136" i="19"/>
  <c r="S137" i="19"/>
  <c r="S138" i="19"/>
  <c r="Q78" i="19"/>
  <c r="Q79" i="19"/>
  <c r="Q80" i="19"/>
  <c r="Q81" i="19"/>
  <c r="Q82" i="19"/>
  <c r="Q83" i="19"/>
  <c r="Q84" i="19"/>
  <c r="Q85" i="19"/>
  <c r="Q86" i="19"/>
  <c r="Q87" i="19"/>
  <c r="Q88" i="19"/>
  <c r="Q89" i="19"/>
  <c r="Q90" i="19"/>
  <c r="Q91" i="19"/>
  <c r="Q92" i="19"/>
  <c r="Q93" i="19"/>
  <c r="Q94" i="19"/>
  <c r="Q95" i="19"/>
  <c r="Q96" i="19"/>
  <c r="Q97" i="19"/>
  <c r="Q98" i="19"/>
  <c r="Q99" i="19"/>
  <c r="Q100" i="19"/>
  <c r="Q101" i="19"/>
  <c r="Q102" i="19"/>
  <c r="Q103" i="19"/>
  <c r="Q104" i="19"/>
  <c r="Q105" i="19"/>
  <c r="Q106" i="19"/>
  <c r="Q107" i="19"/>
  <c r="Q108" i="19"/>
  <c r="Q109" i="19"/>
  <c r="Q110" i="19"/>
  <c r="Q111" i="19"/>
  <c r="Q112" i="19"/>
  <c r="Q113" i="19"/>
  <c r="Q114" i="19"/>
  <c r="Q115" i="19"/>
  <c r="Q116" i="19"/>
  <c r="Q117" i="19"/>
  <c r="Q118" i="19"/>
  <c r="Q119" i="19"/>
  <c r="Q120" i="19"/>
  <c r="Q121" i="19"/>
  <c r="Q122" i="19"/>
  <c r="Q123" i="19"/>
  <c r="Q124" i="19"/>
  <c r="Q125" i="19"/>
  <c r="Q126" i="19"/>
  <c r="Q127" i="19"/>
  <c r="Q128" i="19"/>
  <c r="Q129" i="19"/>
  <c r="Q130" i="19"/>
  <c r="Q131" i="19"/>
  <c r="Q132" i="19"/>
  <c r="Q133" i="19"/>
  <c r="Q134" i="19"/>
  <c r="Q135" i="19"/>
  <c r="Q136" i="19"/>
  <c r="Q137" i="19"/>
  <c r="Q138" i="19"/>
  <c r="M49" i="19"/>
  <c r="M50" i="19"/>
  <c r="M51" i="19"/>
  <c r="M52" i="19"/>
  <c r="M53" i="19"/>
  <c r="M54" i="19"/>
  <c r="M55" i="19"/>
  <c r="M56" i="19"/>
  <c r="M57" i="19"/>
  <c r="M58" i="19"/>
  <c r="M59" i="19"/>
  <c r="M61" i="19"/>
  <c r="M62" i="19"/>
  <c r="M60" i="19"/>
  <c r="M63" i="19"/>
  <c r="M65" i="19"/>
  <c r="M64" i="19"/>
  <c r="M66" i="19"/>
  <c r="M67" i="19"/>
  <c r="M68" i="19"/>
  <c r="M69" i="19"/>
  <c r="M71" i="19"/>
  <c r="M70" i="19"/>
  <c r="M72" i="19"/>
  <c r="M73" i="19"/>
  <c r="M74" i="19"/>
  <c r="M75" i="19"/>
  <c r="M76" i="19"/>
  <c r="M77" i="19"/>
  <c r="M78" i="19"/>
  <c r="N78" i="19"/>
  <c r="M79" i="19"/>
  <c r="N79" i="19"/>
  <c r="M80" i="19"/>
  <c r="N80" i="19"/>
  <c r="M81" i="19"/>
  <c r="N81" i="19"/>
  <c r="M82" i="19"/>
  <c r="N82" i="19"/>
  <c r="N83" i="19"/>
  <c r="M83" i="19"/>
  <c r="N84" i="19"/>
  <c r="M84" i="19"/>
  <c r="M85" i="19"/>
  <c r="N85" i="19"/>
  <c r="M86" i="19"/>
  <c r="N86" i="19"/>
  <c r="M87" i="19"/>
  <c r="N87" i="19"/>
  <c r="N88" i="19"/>
  <c r="M88" i="19"/>
  <c r="N89" i="19"/>
  <c r="M89" i="19"/>
  <c r="N90" i="19"/>
  <c r="M90" i="19"/>
  <c r="M91" i="19"/>
  <c r="N91" i="19"/>
  <c r="N92" i="19"/>
  <c r="M92" i="19"/>
  <c r="N93" i="19"/>
  <c r="M93" i="19"/>
  <c r="N94" i="19"/>
  <c r="M94" i="19"/>
  <c r="M95" i="19"/>
  <c r="N95" i="19"/>
  <c r="N96" i="19"/>
  <c r="M96" i="19"/>
  <c r="M97" i="19"/>
  <c r="N97" i="19"/>
  <c r="N98" i="19"/>
  <c r="M98" i="19"/>
  <c r="N99" i="19"/>
  <c r="M99" i="19"/>
  <c r="N100" i="19"/>
  <c r="M100" i="19"/>
  <c r="M101" i="19"/>
  <c r="N101" i="19"/>
  <c r="M102" i="19"/>
  <c r="N102" i="19"/>
  <c r="N103" i="19"/>
  <c r="M103" i="19"/>
  <c r="M104" i="19"/>
  <c r="N104" i="19"/>
  <c r="N105" i="19"/>
  <c r="M105" i="19"/>
  <c r="N106" i="19"/>
  <c r="M106" i="19"/>
  <c r="N107" i="19"/>
  <c r="M107" i="19"/>
  <c r="N108" i="19"/>
  <c r="M108" i="19"/>
  <c r="N109" i="19"/>
  <c r="M109" i="19"/>
  <c r="M110" i="19"/>
  <c r="N110" i="19"/>
  <c r="N111" i="19"/>
  <c r="M111" i="19"/>
  <c r="N112" i="19"/>
  <c r="M112" i="19"/>
  <c r="N113" i="19"/>
  <c r="M113" i="19"/>
  <c r="N114" i="19"/>
  <c r="M114" i="19"/>
  <c r="M115" i="19"/>
  <c r="N115" i="19"/>
  <c r="N117" i="19"/>
  <c r="M116" i="19"/>
  <c r="M117" i="19"/>
  <c r="N116" i="19"/>
  <c r="M118" i="19"/>
  <c r="N118" i="19"/>
  <c r="M119" i="19"/>
  <c r="N119" i="19"/>
  <c r="N120" i="19"/>
  <c r="M120" i="19"/>
  <c r="M121" i="19"/>
  <c r="N121" i="19"/>
  <c r="N122" i="19"/>
  <c r="M122" i="19"/>
  <c r="M123" i="19"/>
  <c r="N123" i="19"/>
  <c r="M124" i="19"/>
  <c r="N124" i="19"/>
  <c r="M125" i="19"/>
  <c r="N125" i="19"/>
  <c r="N126" i="19"/>
  <c r="M126" i="19"/>
  <c r="M127" i="19"/>
  <c r="N127" i="19"/>
  <c r="N128" i="19"/>
  <c r="M128" i="19"/>
  <c r="M129" i="19"/>
  <c r="N129" i="19"/>
  <c r="M130" i="19"/>
  <c r="N130" i="19"/>
  <c r="M131" i="19"/>
  <c r="N131" i="19"/>
  <c r="M132" i="19"/>
  <c r="N132" i="19"/>
  <c r="N133" i="19"/>
  <c r="M133" i="19"/>
  <c r="M134" i="19"/>
  <c r="N134" i="19"/>
  <c r="M135" i="19"/>
  <c r="N135" i="19"/>
  <c r="N136" i="19"/>
  <c r="M136" i="19"/>
  <c r="N137" i="19"/>
  <c r="M137" i="19"/>
  <c r="M138" i="19"/>
  <c r="N138" i="19"/>
  <c r="O78" i="19"/>
  <c r="O79" i="19"/>
  <c r="O80" i="19"/>
  <c r="O81" i="19"/>
  <c r="O82" i="19"/>
  <c r="O83" i="19"/>
  <c r="O84" i="19"/>
  <c r="O85" i="19"/>
  <c r="O86" i="19"/>
  <c r="O87" i="19"/>
  <c r="O88" i="19"/>
  <c r="O89" i="19"/>
  <c r="O90" i="19"/>
  <c r="O91" i="19"/>
  <c r="O92" i="19"/>
  <c r="O93" i="19"/>
  <c r="O94" i="19"/>
  <c r="O95" i="19"/>
  <c r="O96" i="19"/>
  <c r="O97" i="19"/>
  <c r="O98" i="19"/>
  <c r="O99" i="19"/>
  <c r="O100" i="19"/>
  <c r="O101" i="19"/>
  <c r="O102" i="19"/>
  <c r="O103" i="19"/>
  <c r="O104" i="19"/>
  <c r="O105" i="19"/>
  <c r="O106" i="19"/>
  <c r="O107" i="19"/>
  <c r="O108" i="19"/>
  <c r="O109" i="19"/>
  <c r="O110" i="19"/>
  <c r="O111" i="19"/>
  <c r="O112" i="19"/>
  <c r="O113" i="19"/>
  <c r="O114" i="19"/>
  <c r="O115" i="19"/>
  <c r="O116" i="19"/>
  <c r="O117" i="19"/>
  <c r="O118" i="19"/>
  <c r="O119" i="19"/>
  <c r="O120" i="19"/>
  <c r="O121" i="19"/>
  <c r="O122" i="19"/>
  <c r="O123" i="19"/>
  <c r="O124" i="19"/>
  <c r="O125" i="19"/>
  <c r="O126" i="19"/>
  <c r="O127" i="19"/>
  <c r="O128" i="19"/>
  <c r="O129" i="19"/>
  <c r="O130" i="19"/>
  <c r="O131" i="19"/>
  <c r="O132" i="19"/>
  <c r="O133" i="19"/>
  <c r="O134" i="19"/>
  <c r="O135" i="19"/>
  <c r="O136" i="19"/>
  <c r="O137" i="19"/>
  <c r="O138" i="19"/>
  <c r="D10" i="26"/>
  <c r="F10" i="26"/>
  <c r="S56" i="8"/>
  <c r="V56" i="8"/>
  <c r="U56" i="8"/>
  <c r="T56" i="8"/>
  <c r="Y57" i="8"/>
  <c r="Z57" i="8"/>
  <c r="AA57" i="8"/>
  <c r="AE57" i="8"/>
  <c r="AB57" i="8"/>
  <c r="AD57" i="8"/>
  <c r="AC57" i="8"/>
  <c r="O57" i="8"/>
  <c r="P58" i="8" s="1"/>
  <c r="X58" i="8"/>
  <c r="U131" i="19" l="1"/>
  <c r="U123" i="19"/>
  <c r="U115" i="19"/>
  <c r="U134" i="19"/>
  <c r="U118" i="19"/>
  <c r="U110" i="19"/>
  <c r="U102" i="19"/>
  <c r="U111" i="19"/>
  <c r="U107" i="19"/>
  <c r="U103" i="19"/>
  <c r="U99" i="19"/>
  <c r="U83" i="19"/>
  <c r="U135" i="19"/>
  <c r="U127" i="19"/>
  <c r="U119" i="19"/>
  <c r="U95" i="19"/>
  <c r="U91" i="19"/>
  <c r="U87" i="19"/>
  <c r="U79" i="19"/>
  <c r="U126" i="19"/>
  <c r="U122" i="19"/>
  <c r="U114" i="19"/>
  <c r="U106" i="19"/>
  <c r="U98" i="19"/>
  <c r="U94" i="19"/>
  <c r="U90" i="19"/>
  <c r="U138" i="19"/>
  <c r="U130" i="19"/>
  <c r="U86" i="19"/>
  <c r="U82" i="19"/>
  <c r="U78" i="19"/>
  <c r="U137" i="19"/>
  <c r="U133" i="19"/>
  <c r="U113" i="19"/>
  <c r="U109" i="19"/>
  <c r="U105" i="19"/>
  <c r="U93" i="19"/>
  <c r="U89" i="19"/>
  <c r="U129" i="19"/>
  <c r="U125" i="19"/>
  <c r="U121" i="19"/>
  <c r="U117" i="19"/>
  <c r="U101" i="19"/>
  <c r="U97" i="19"/>
  <c r="U85" i="19"/>
  <c r="U81" i="19"/>
  <c r="U136" i="19"/>
  <c r="U128" i="19"/>
  <c r="U120" i="19"/>
  <c r="U116" i="19"/>
  <c r="U112" i="19"/>
  <c r="U108" i="19"/>
  <c r="U100" i="19"/>
  <c r="U96" i="19"/>
  <c r="U92" i="19"/>
  <c r="U88" i="19"/>
  <c r="U84" i="19"/>
  <c r="U132" i="19"/>
  <c r="U124" i="19"/>
  <c r="U104" i="19"/>
  <c r="U80" i="19"/>
  <c r="B8" i="26"/>
  <c r="H10" i="26"/>
  <c r="H56" i="8"/>
  <c r="I56" i="8" s="1"/>
  <c r="J56" i="8" s="1"/>
  <c r="D57" i="8"/>
  <c r="W58" i="8" s="1"/>
  <c r="B56" i="8"/>
  <c r="Q59" i="8"/>
  <c r="R60" i="8" s="1"/>
  <c r="C56" i="8"/>
  <c r="D8" i="26" l="1"/>
  <c r="H8" i="26" s="1"/>
  <c r="B3" i="26" s="1"/>
  <c r="C3" i="26" s="1"/>
  <c r="F8" i="26"/>
  <c r="B4" i="26" s="1"/>
  <c r="C4" i="26" s="1"/>
  <c r="X59" i="8"/>
  <c r="L57" i="8"/>
  <c r="G57" i="8"/>
  <c r="K56" i="8"/>
  <c r="N57" i="8"/>
  <c r="M57" i="8" s="1"/>
  <c r="E56" i="8"/>
  <c r="F57" i="8" s="1"/>
  <c r="F29" i="24" l="1"/>
  <c r="D29" i="24"/>
  <c r="F31" i="24"/>
  <c r="G31" i="24" s="1"/>
  <c r="D31" i="24"/>
  <c r="E31" i="24" s="1"/>
  <c r="S57" i="8"/>
  <c r="V57" i="8"/>
  <c r="T57" i="8"/>
  <c r="U57" i="8"/>
  <c r="Y58" i="8"/>
  <c r="AC58" i="8"/>
  <c r="AB58" i="8"/>
  <c r="AD58" i="8"/>
  <c r="AE58" i="8"/>
  <c r="AA58" i="8"/>
  <c r="Z58" i="8"/>
  <c r="O58" i="8"/>
  <c r="P59" i="8" s="1"/>
  <c r="E29" i="24" l="1"/>
  <c r="D30" i="24"/>
  <c r="D32" i="24" s="1"/>
  <c r="E32" i="24" s="1"/>
  <c r="G29" i="24"/>
  <c r="F30" i="24"/>
  <c r="H57" i="8"/>
  <c r="I57" i="8" s="1"/>
  <c r="J57" i="8" s="1"/>
  <c r="Q60" i="8"/>
  <c r="R61" i="8" s="1"/>
  <c r="D58" i="8"/>
  <c r="W59" i="8" s="1"/>
  <c r="B57" i="8"/>
  <c r="C57" i="8"/>
  <c r="F32" i="24" l="1"/>
  <c r="G30" i="24"/>
  <c r="E30" i="24"/>
  <c r="D33" i="24"/>
  <c r="G58" i="8"/>
  <c r="K57" i="8"/>
  <c r="L58" i="8"/>
  <c r="N58" i="8"/>
  <c r="M58" i="8" s="1"/>
  <c r="E57" i="8"/>
  <c r="F58" i="8" s="1"/>
  <c r="D28" i="24" l="1"/>
  <c r="D10" i="24" s="1"/>
  <c r="D36" i="24" s="1"/>
  <c r="E33" i="24"/>
  <c r="F33" i="24"/>
  <c r="G33" i="24" s="1"/>
  <c r="G32" i="24"/>
  <c r="S58" i="8"/>
  <c r="T58" i="8"/>
  <c r="V58" i="8"/>
  <c r="U58" i="8"/>
  <c r="X60" i="8"/>
  <c r="Y59" i="8"/>
  <c r="AD59" i="8"/>
  <c r="AA59" i="8"/>
  <c r="Z59" i="8"/>
  <c r="AC59" i="8"/>
  <c r="AB59" i="8"/>
  <c r="AE59" i="8"/>
  <c r="O59" i="8"/>
  <c r="P60" i="8" s="1"/>
  <c r="F28" i="24" l="1"/>
  <c r="F10" i="24" s="1"/>
  <c r="F36" i="24" s="1"/>
  <c r="D40" i="24"/>
  <c r="E40" i="24" s="1"/>
  <c r="D41" i="24"/>
  <c r="E41" i="24" s="1"/>
  <c r="D38" i="24"/>
  <c r="E38" i="24" s="1"/>
  <c r="D37" i="24"/>
  <c r="D39" i="24"/>
  <c r="E39" i="24" s="1"/>
  <c r="D42" i="24"/>
  <c r="E42" i="24" s="1"/>
  <c r="H58" i="8"/>
  <c r="I58" i="8" s="1"/>
  <c r="J58" i="8" s="1"/>
  <c r="C58" i="8"/>
  <c r="B58" i="8"/>
  <c r="Q61" i="8"/>
  <c r="R62" i="8" s="1"/>
  <c r="D59" i="8"/>
  <c r="W60" i="8" s="1"/>
  <c r="E37" i="24" l="1"/>
  <c r="E36" i="24" s="1"/>
  <c r="D11" i="24" s="1"/>
  <c r="E8" i="24" s="1"/>
  <c r="D35" i="24"/>
  <c r="F37" i="24"/>
  <c r="F39" i="24"/>
  <c r="G39" i="24" s="1"/>
  <c r="F41" i="24"/>
  <c r="G41" i="24" s="1"/>
  <c r="F42" i="24"/>
  <c r="G42" i="24" s="1"/>
  <c r="F38" i="24"/>
  <c r="G38" i="24" s="1"/>
  <c r="F40" i="24"/>
  <c r="G40" i="24" s="1"/>
  <c r="C27" i="8"/>
  <c r="C26" i="8"/>
  <c r="K58" i="8"/>
  <c r="G59" i="8"/>
  <c r="L59" i="8"/>
  <c r="N59" i="8"/>
  <c r="M59" i="8" s="1"/>
  <c r="E58" i="8"/>
  <c r="F59" i="8" s="1"/>
  <c r="F35" i="24" l="1"/>
  <c r="G37" i="24"/>
  <c r="X61" i="8"/>
  <c r="S59" i="8"/>
  <c r="U59" i="8"/>
  <c r="T59" i="8"/>
  <c r="V59" i="8"/>
  <c r="Y60" i="8"/>
  <c r="AD60" i="8"/>
  <c r="AB60" i="8"/>
  <c r="AC60" i="8"/>
  <c r="Z60" i="8"/>
  <c r="AE60" i="8"/>
  <c r="AA60" i="8"/>
  <c r="O60" i="8"/>
  <c r="P61" i="8" s="1"/>
  <c r="H59" i="8" l="1"/>
  <c r="I59" i="8" s="1"/>
  <c r="J59" i="8" s="1"/>
  <c r="B59" i="8"/>
  <c r="D60" i="8"/>
  <c r="W61" i="8" s="1"/>
  <c r="Q62" i="8"/>
  <c r="R63" i="8" s="1"/>
  <c r="C59" i="8"/>
  <c r="G60" i="8" l="1"/>
  <c r="K59" i="8"/>
  <c r="L60" i="8"/>
  <c r="N60" i="8"/>
  <c r="M60" i="8" s="1"/>
  <c r="E59" i="8"/>
  <c r="F60" i="8" s="1"/>
  <c r="Y61" i="8" l="1"/>
  <c r="AA61" i="8"/>
  <c r="AC61" i="8"/>
  <c r="AB61" i="8"/>
  <c r="Z61" i="8"/>
  <c r="AE61" i="8"/>
  <c r="AD61" i="8"/>
  <c r="O61" i="8"/>
  <c r="P62" i="8" s="1"/>
  <c r="S60" i="8"/>
  <c r="U60" i="8"/>
  <c r="T60" i="8"/>
  <c r="V60" i="8"/>
  <c r="X62" i="8"/>
  <c r="H60" i="8" l="1"/>
  <c r="I60" i="8" s="1"/>
  <c r="J60" i="8" s="1"/>
  <c r="D61" i="8"/>
  <c r="W62" i="8" s="1"/>
  <c r="C60" i="8"/>
  <c r="B60" i="8"/>
  <c r="Q63" i="8"/>
  <c r="R64" i="8" s="1"/>
  <c r="G61" i="8" l="1"/>
  <c r="K60" i="8"/>
  <c r="L61" i="8"/>
  <c r="N61" i="8"/>
  <c r="M61" i="8" s="1"/>
  <c r="E60" i="8"/>
  <c r="F61" i="8" s="1"/>
  <c r="X63" i="8"/>
  <c r="O62" i="8" l="1"/>
  <c r="P63" i="8" s="1"/>
  <c r="S61" i="8"/>
  <c r="V61" i="8"/>
  <c r="U61" i="8"/>
  <c r="T61" i="8"/>
  <c r="Y62" i="8"/>
  <c r="AD62" i="8"/>
  <c r="AA62" i="8"/>
  <c r="AB62" i="8"/>
  <c r="Z62" i="8"/>
  <c r="AE62" i="8"/>
  <c r="AC62" i="8"/>
  <c r="H61" i="8" l="1"/>
  <c r="I61" i="8" s="1"/>
  <c r="J61" i="8" s="1"/>
  <c r="C61" i="8"/>
  <c r="B61" i="8"/>
  <c r="Q64" i="8"/>
  <c r="R65" i="8" s="1"/>
  <c r="D62" i="8"/>
  <c r="W63" i="8" s="1"/>
  <c r="G62" i="8" l="1"/>
  <c r="K61" i="8"/>
  <c r="L62" i="8"/>
  <c r="N62" i="8"/>
  <c r="M62" i="8" s="1"/>
  <c r="E61" i="8"/>
  <c r="F62" i="8" s="1"/>
  <c r="S62" i="8" l="1"/>
  <c r="U62" i="8"/>
  <c r="T62" i="8"/>
  <c r="V62" i="8"/>
  <c r="X64" i="8"/>
  <c r="Y63" i="8"/>
  <c r="AE63" i="8"/>
  <c r="Z63" i="8"/>
  <c r="AA63" i="8"/>
  <c r="AC63" i="8"/>
  <c r="AB63" i="8"/>
  <c r="AD63" i="8"/>
  <c r="O63" i="8"/>
  <c r="P64" i="8" s="1"/>
  <c r="H62" i="8" l="1"/>
  <c r="I62" i="8" s="1"/>
  <c r="J62" i="8" s="1"/>
  <c r="Q65" i="8"/>
  <c r="R66" i="8" s="1"/>
  <c r="C62" i="8"/>
  <c r="B62" i="8"/>
  <c r="D63" i="8"/>
  <c r="W64" i="8" s="1"/>
  <c r="G63" i="8" l="1"/>
  <c r="K62" i="8"/>
  <c r="L63" i="8"/>
  <c r="N63" i="8"/>
  <c r="M63" i="8" s="1"/>
  <c r="E62" i="8"/>
  <c r="F63" i="8" s="1"/>
  <c r="Y64" i="8" l="1"/>
  <c r="AE64" i="8"/>
  <c r="AB64" i="8"/>
  <c r="AD64" i="8"/>
  <c r="Z64" i="8"/>
  <c r="AA64" i="8"/>
  <c r="AC64" i="8"/>
  <c r="X65" i="8"/>
  <c r="O64" i="8"/>
  <c r="P65" i="8" s="1"/>
  <c r="S63" i="8"/>
  <c r="U63" i="8"/>
  <c r="T63" i="8"/>
  <c r="V63" i="8"/>
  <c r="H63" i="8" l="1"/>
  <c r="I63" i="8" s="1"/>
  <c r="J63" i="8" s="1"/>
  <c r="Q66" i="8"/>
  <c r="R67" i="8" s="1"/>
  <c r="C63" i="8"/>
  <c r="B63" i="8"/>
  <c r="D64" i="8"/>
  <c r="W65" i="8" s="1"/>
  <c r="G64" i="8" l="1"/>
  <c r="K63" i="8"/>
  <c r="L64" i="8"/>
  <c r="N64" i="8"/>
  <c r="M64" i="8" s="1"/>
  <c r="E63" i="8"/>
  <c r="F64" i="8" s="1"/>
  <c r="Y65" i="8" l="1"/>
  <c r="AD65" i="8"/>
  <c r="AE65" i="8"/>
  <c r="Z65" i="8"/>
  <c r="AA65" i="8"/>
  <c r="AB65" i="8"/>
  <c r="AC65" i="8"/>
  <c r="O65" i="8"/>
  <c r="P66" i="8" s="1"/>
  <c r="X66" i="8"/>
  <c r="S64" i="8"/>
  <c r="U64" i="8"/>
  <c r="V64" i="8"/>
  <c r="T64" i="8"/>
  <c r="H64" i="8" l="1"/>
  <c r="D65" i="8"/>
  <c r="W66" i="8" s="1"/>
  <c r="B64" i="8"/>
  <c r="Q67" i="8"/>
  <c r="R68" i="8" s="1"/>
  <c r="C64" i="8"/>
  <c r="I64" i="8"/>
  <c r="J64" i="8" s="1"/>
  <c r="X67" i="8" l="1"/>
  <c r="K64" i="8"/>
  <c r="G65" i="8"/>
  <c r="L65" i="8"/>
  <c r="N65" i="8"/>
  <c r="M65" i="8" s="1"/>
  <c r="E64" i="8"/>
  <c r="F65" i="8" s="1"/>
  <c r="Y66" i="8" l="1"/>
  <c r="AE66" i="8"/>
  <c r="Z66" i="8"/>
  <c r="AA66" i="8"/>
  <c r="AC66" i="8"/>
  <c r="AB66" i="8"/>
  <c r="AD66" i="8"/>
  <c r="O66" i="8"/>
  <c r="P67" i="8" s="1"/>
  <c r="S65" i="8"/>
  <c r="T65" i="8"/>
  <c r="U65" i="8"/>
  <c r="V65" i="8"/>
  <c r="H65" i="8" l="1"/>
  <c r="I65" i="8" s="1"/>
  <c r="J65" i="8" s="1"/>
  <c r="B65" i="8"/>
  <c r="Q68" i="8"/>
  <c r="R69" i="8" s="1"/>
  <c r="C65" i="8"/>
  <c r="D66" i="8"/>
  <c r="W67" i="8" s="1"/>
  <c r="K65" i="8" l="1"/>
  <c r="G66" i="8"/>
  <c r="L66" i="8"/>
  <c r="N66" i="8"/>
  <c r="M66" i="8" s="1"/>
  <c r="E65" i="8"/>
  <c r="F66" i="8" s="1"/>
  <c r="Y67" i="8" l="1"/>
  <c r="AC67" i="8"/>
  <c r="AA67" i="8"/>
  <c r="Z67" i="8"/>
  <c r="AE67" i="8"/>
  <c r="AD67" i="8"/>
  <c r="AB67" i="8"/>
  <c r="O67" i="8"/>
  <c r="P68" i="8" s="1"/>
  <c r="X68" i="8"/>
  <c r="S66" i="8"/>
  <c r="U66" i="8"/>
  <c r="T66" i="8"/>
  <c r="V66" i="8"/>
  <c r="H66" i="8" l="1"/>
  <c r="I66" i="8" s="1"/>
  <c r="J66" i="8" s="1"/>
  <c r="C66" i="8"/>
  <c r="D67" i="8"/>
  <c r="W68" i="8" s="1"/>
  <c r="B66" i="8"/>
  <c r="Q69" i="8"/>
  <c r="R70" i="8" s="1"/>
  <c r="K66" i="8" l="1"/>
  <c r="G67" i="8"/>
  <c r="L67" i="8"/>
  <c r="N67" i="8"/>
  <c r="M67" i="8" s="1"/>
  <c r="E66" i="8"/>
  <c r="F67" i="8" s="1"/>
  <c r="S67" i="8" l="1"/>
  <c r="T67" i="8"/>
  <c r="V67" i="8"/>
  <c r="U67" i="8"/>
  <c r="X69" i="8"/>
  <c r="Y68" i="8"/>
  <c r="AD68" i="8"/>
  <c r="Z68" i="8"/>
  <c r="AC68" i="8"/>
  <c r="AE68" i="8"/>
  <c r="AA68" i="8"/>
  <c r="AB68" i="8"/>
  <c r="O68" i="8"/>
  <c r="P69" i="8" s="1"/>
  <c r="H67" i="8" l="1"/>
  <c r="I67" i="8" s="1"/>
  <c r="J67" i="8" s="1"/>
  <c r="D68" i="8"/>
  <c r="W69" i="8" s="1"/>
  <c r="Q70" i="8"/>
  <c r="R71" i="8" s="1"/>
  <c r="C67" i="8"/>
  <c r="B67" i="8"/>
  <c r="X70" i="8" l="1"/>
  <c r="G68" i="8"/>
  <c r="K67" i="8"/>
  <c r="L68" i="8"/>
  <c r="N68" i="8"/>
  <c r="M68" i="8" s="1"/>
  <c r="E67" i="8"/>
  <c r="F68" i="8" s="1"/>
  <c r="S68" i="8" l="1"/>
  <c r="U68" i="8"/>
  <c r="V68" i="8"/>
  <c r="T68" i="8"/>
  <c r="Y69" i="8"/>
  <c r="AD69" i="8"/>
  <c r="AA69" i="8"/>
  <c r="Z69" i="8"/>
  <c r="AC69" i="8"/>
  <c r="AE69" i="8"/>
  <c r="AB69" i="8"/>
  <c r="O69" i="8"/>
  <c r="P70" i="8" s="1"/>
  <c r="H68" i="8" l="1"/>
  <c r="I68" i="8" s="1"/>
  <c r="J68" i="8" s="1"/>
  <c r="B68" i="8"/>
  <c r="Q71" i="8"/>
  <c r="R72" i="8" s="1"/>
  <c r="D69" i="8"/>
  <c r="W70" i="8" s="1"/>
  <c r="C68" i="8"/>
  <c r="K68" i="8" l="1"/>
  <c r="G69" i="8"/>
  <c r="L69" i="8"/>
  <c r="N69" i="8"/>
  <c r="M69" i="8" s="1"/>
  <c r="E68" i="8"/>
  <c r="F69" i="8" s="1"/>
  <c r="O70" i="8" l="1"/>
  <c r="P71" i="8" s="1"/>
  <c r="S69" i="8"/>
  <c r="U69" i="8"/>
  <c r="V69" i="8"/>
  <c r="T69" i="8"/>
  <c r="X71" i="8"/>
  <c r="Y70" i="8"/>
  <c r="AB70" i="8"/>
  <c r="AC70" i="8"/>
  <c r="AE70" i="8"/>
  <c r="AA70" i="8"/>
  <c r="AD70" i="8"/>
  <c r="Z70" i="8"/>
  <c r="H69" i="8" l="1"/>
  <c r="I69" i="8" s="1"/>
  <c r="J69" i="8" s="1"/>
  <c r="Q72" i="8"/>
  <c r="R73" i="8" s="1"/>
  <c r="C69" i="8"/>
  <c r="B69" i="8"/>
  <c r="D70" i="8"/>
  <c r="W71" i="8" s="1"/>
  <c r="G70" i="8" l="1"/>
  <c r="K69" i="8"/>
  <c r="L70" i="8"/>
  <c r="N70" i="8"/>
  <c r="M70" i="8" s="1"/>
  <c r="E69" i="8"/>
  <c r="F70" i="8" s="1"/>
  <c r="S70" i="8" l="1"/>
  <c r="T70" i="8"/>
  <c r="V70" i="8"/>
  <c r="U70" i="8"/>
  <c r="X72" i="8"/>
  <c r="Y71" i="8"/>
  <c r="AC71" i="8"/>
  <c r="AE71" i="8"/>
  <c r="AB71" i="8"/>
  <c r="AD71" i="8"/>
  <c r="Z71" i="8"/>
  <c r="AA71" i="8"/>
  <c r="O71" i="8"/>
  <c r="P72" i="8" s="1"/>
  <c r="H70" i="8" l="1"/>
  <c r="I70" i="8" s="1"/>
  <c r="J70" i="8" s="1"/>
  <c r="D71" i="8"/>
  <c r="W72" i="8" s="1"/>
  <c r="B70" i="8"/>
  <c r="Q73" i="8"/>
  <c r="R74" i="8" s="1"/>
  <c r="C70" i="8"/>
  <c r="K70" i="8" l="1"/>
  <c r="G71" i="8"/>
  <c r="L71" i="8"/>
  <c r="N71" i="8"/>
  <c r="M71" i="8" s="1"/>
  <c r="E70" i="8"/>
  <c r="F71" i="8" s="1"/>
  <c r="O72" i="8" l="1"/>
  <c r="P73" i="8" s="1"/>
  <c r="X73" i="8"/>
  <c r="Y72" i="8"/>
  <c r="Z72" i="8"/>
  <c r="AE72" i="8"/>
  <c r="AC72" i="8"/>
  <c r="AA72" i="8"/>
  <c r="AD72" i="8"/>
  <c r="AB72" i="8"/>
  <c r="S71" i="8"/>
  <c r="T71" i="8"/>
  <c r="V71" i="8"/>
  <c r="U71" i="8"/>
  <c r="H71" i="8" l="1"/>
  <c r="I71" i="8" s="1"/>
  <c r="J71" i="8" s="1"/>
  <c r="B71" i="8"/>
  <c r="Q74" i="8"/>
  <c r="R75" i="8" s="1"/>
  <c r="D72" i="8"/>
  <c r="W73" i="8" s="1"/>
  <c r="C71" i="8"/>
  <c r="G72" i="8" l="1"/>
  <c r="K71" i="8"/>
  <c r="L72" i="8"/>
  <c r="N72" i="8"/>
  <c r="M72" i="8" s="1"/>
  <c r="E71" i="8"/>
  <c r="F72" i="8" s="1"/>
  <c r="S72" i="8" l="1"/>
  <c r="V72" i="8"/>
  <c r="U72" i="8"/>
  <c r="T72" i="8"/>
  <c r="X74" i="8"/>
  <c r="Y73" i="8"/>
  <c r="AB73" i="8"/>
  <c r="AD73" i="8"/>
  <c r="AA73" i="8"/>
  <c r="Z73" i="8"/>
  <c r="AC73" i="8"/>
  <c r="AE73" i="8"/>
  <c r="O73" i="8"/>
  <c r="P74" i="8" s="1"/>
  <c r="H72" i="8" l="1"/>
  <c r="B72" i="8"/>
  <c r="D73" i="8"/>
  <c r="W74" i="8" s="1"/>
  <c r="Q75" i="8"/>
  <c r="R76" i="8" s="1"/>
  <c r="C72" i="8"/>
  <c r="I72" i="8"/>
  <c r="J72" i="8" s="1"/>
  <c r="G73" i="8" l="1"/>
  <c r="K72" i="8"/>
  <c r="L73" i="8"/>
  <c r="N73" i="8"/>
  <c r="M73" i="8" s="1"/>
  <c r="E72" i="8"/>
  <c r="F73" i="8" s="1"/>
  <c r="S73" i="8" l="1"/>
  <c r="U73" i="8"/>
  <c r="T73" i="8"/>
  <c r="V73" i="8"/>
  <c r="X75" i="8"/>
  <c r="Y74" i="8"/>
  <c r="AC74" i="8"/>
  <c r="AA74" i="8"/>
  <c r="Z74" i="8"/>
  <c r="AB74" i="8"/>
  <c r="AE74" i="8"/>
  <c r="AD74" i="8"/>
  <c r="O74" i="8"/>
  <c r="P75" i="8" s="1"/>
  <c r="H73" i="8" l="1"/>
  <c r="I73" i="8" s="1"/>
  <c r="J73" i="8" s="1"/>
  <c r="B73" i="8"/>
  <c r="D74" i="8"/>
  <c r="W75" i="8" s="1"/>
  <c r="C73" i="8"/>
  <c r="Q76" i="8"/>
  <c r="R77" i="8" s="1"/>
  <c r="X76" i="8" l="1"/>
  <c r="K73" i="8"/>
  <c r="G74" i="8"/>
  <c r="L74" i="8"/>
  <c r="N74" i="8"/>
  <c r="M74" i="8" s="1"/>
  <c r="E73" i="8"/>
  <c r="F74" i="8" s="1"/>
  <c r="O75" i="8" l="1"/>
  <c r="P76" i="8" s="1"/>
  <c r="Y75" i="8"/>
  <c r="AB75" i="8"/>
  <c r="AD75" i="8"/>
  <c r="AA75" i="8"/>
  <c r="AC75" i="8"/>
  <c r="AE75" i="8"/>
  <c r="Z75" i="8"/>
  <c r="S74" i="8"/>
  <c r="V74" i="8"/>
  <c r="T74" i="8"/>
  <c r="U74" i="8"/>
  <c r="H74" i="8" l="1"/>
  <c r="I74" i="8" s="1"/>
  <c r="J74" i="8" s="1"/>
  <c r="D75" i="8"/>
  <c r="W76" i="8" s="1"/>
  <c r="B74" i="8"/>
  <c r="C74" i="8"/>
  <c r="Q77" i="8"/>
  <c r="R78" i="8" s="1"/>
  <c r="K74" i="8" l="1"/>
  <c r="G75" i="8"/>
  <c r="L75" i="8"/>
  <c r="N75" i="8"/>
  <c r="M75" i="8" s="1"/>
  <c r="E74" i="8"/>
  <c r="F75" i="8" s="1"/>
  <c r="O76" i="8" l="1"/>
  <c r="P77" i="8" s="1"/>
  <c r="S75" i="8"/>
  <c r="T75" i="8"/>
  <c r="V75" i="8"/>
  <c r="U75" i="8"/>
  <c r="X77" i="8"/>
  <c r="Y76" i="8"/>
  <c r="AE76" i="8"/>
  <c r="Z76" i="8"/>
  <c r="AA76" i="8"/>
  <c r="AC76" i="8"/>
  <c r="AB76" i="8"/>
  <c r="AD76" i="8"/>
  <c r="H75" i="8" l="1"/>
  <c r="I75" i="8" s="1"/>
  <c r="J75" i="8" s="1"/>
  <c r="C75" i="8"/>
  <c r="B75" i="8"/>
  <c r="C28" i="8" s="1"/>
  <c r="D76" i="8"/>
  <c r="W77" i="8" s="1"/>
  <c r="Q78" i="8"/>
  <c r="R79" i="8" s="1"/>
  <c r="G76" i="8" l="1"/>
  <c r="K75" i="8"/>
  <c r="L76" i="8"/>
  <c r="N76" i="8"/>
  <c r="M76" i="8" s="1"/>
  <c r="E75" i="8"/>
  <c r="F76" i="8" s="1"/>
  <c r="Y77" i="8" l="1"/>
  <c r="AB77" i="8"/>
  <c r="AA77" i="8"/>
  <c r="AC77" i="8"/>
  <c r="AD77" i="8"/>
  <c r="Z77" i="8"/>
  <c r="AE77" i="8"/>
  <c r="O77" i="8"/>
  <c r="P78" i="8" s="1"/>
  <c r="X78" i="8"/>
  <c r="S76" i="8"/>
  <c r="U76" i="8"/>
  <c r="V76" i="8"/>
  <c r="T76" i="8"/>
  <c r="H76" i="8" l="1"/>
  <c r="I76" i="8" s="1"/>
  <c r="J76" i="8" s="1"/>
  <c r="D77" i="8"/>
  <c r="W78" i="8" s="1"/>
  <c r="C76" i="8"/>
  <c r="B76" i="8"/>
  <c r="Q79" i="8"/>
  <c r="R80" i="8" s="1"/>
  <c r="X79" i="8" l="1"/>
  <c r="G77" i="8"/>
  <c r="K76" i="8"/>
  <c r="L77" i="8"/>
  <c r="N77" i="8"/>
  <c r="M77" i="8" s="1"/>
  <c r="E76" i="8"/>
  <c r="F77" i="8" s="1"/>
  <c r="Y78" i="8" l="1"/>
  <c r="AB78" i="8"/>
  <c r="AC78" i="8"/>
  <c r="Z78" i="8"/>
  <c r="AD78" i="8"/>
  <c r="AA78" i="8"/>
  <c r="AE78" i="8"/>
  <c r="O78" i="8"/>
  <c r="P79" i="8" s="1"/>
  <c r="S77" i="8"/>
  <c r="U77" i="8"/>
  <c r="V77" i="8"/>
  <c r="T77" i="8"/>
  <c r="H77" i="8" l="1"/>
  <c r="I77" i="8" s="1"/>
  <c r="J77" i="8" s="1"/>
  <c r="C77" i="8"/>
  <c r="B77" i="8"/>
  <c r="Q80" i="8"/>
  <c r="D78" i="8"/>
  <c r="W79" i="8" s="1"/>
  <c r="G78" i="8" l="1"/>
  <c r="K77" i="8"/>
  <c r="L78" i="8"/>
  <c r="N78" i="8"/>
  <c r="M78" i="8" s="1"/>
  <c r="E77" i="8"/>
  <c r="F78" i="8" s="1"/>
  <c r="Y79" i="8" l="1"/>
  <c r="AC79" i="8"/>
  <c r="Z79" i="8"/>
  <c r="AB79" i="8"/>
  <c r="AE79" i="8"/>
  <c r="AA79" i="8"/>
  <c r="AD79" i="8"/>
  <c r="X80" i="8"/>
  <c r="O79" i="8"/>
  <c r="P80" i="8" s="1"/>
  <c r="S78" i="8"/>
  <c r="T78" i="8"/>
  <c r="U78" i="8"/>
  <c r="V78" i="8"/>
  <c r="H78" i="8" l="1"/>
  <c r="I78" i="8" s="1"/>
  <c r="J78" i="8" s="1"/>
  <c r="C78" i="8"/>
  <c r="B78" i="8"/>
  <c r="D79" i="8"/>
  <c r="W80" i="8" s="1"/>
  <c r="L79" i="8" l="1"/>
  <c r="K78" i="8"/>
  <c r="G79" i="8"/>
  <c r="N79" i="8"/>
  <c r="M79" i="8" s="1"/>
  <c r="E78" i="8"/>
  <c r="F79" i="8" s="1"/>
  <c r="O80" i="8" l="1"/>
  <c r="S79" i="8"/>
  <c r="T79" i="8"/>
  <c r="U79" i="8"/>
  <c r="V79" i="8"/>
  <c r="Y80" i="8"/>
  <c r="AC80" i="8"/>
  <c r="Z80" i="8"/>
  <c r="AA80" i="8"/>
  <c r="AE80" i="8"/>
  <c r="AB80" i="8"/>
  <c r="AD80" i="8"/>
  <c r="H79" i="8" l="1"/>
  <c r="I79" i="8" s="1"/>
  <c r="J79" i="8" s="1"/>
  <c r="D80" i="8"/>
  <c r="C79" i="8"/>
  <c r="B79" i="8"/>
  <c r="L80" i="8" l="1"/>
  <c r="K79" i="8"/>
  <c r="G80" i="8"/>
  <c r="N80" i="8"/>
  <c r="M80" i="8" s="1"/>
  <c r="E79" i="8"/>
  <c r="F80" i="8" s="1"/>
  <c r="S80" i="8" l="1"/>
  <c r="T80" i="8"/>
  <c r="U80" i="8"/>
  <c r="V80" i="8"/>
  <c r="H80" i="8" l="1"/>
  <c r="I80" i="8" s="1"/>
  <c r="J80" i="8" s="1"/>
  <c r="C80" i="8"/>
  <c r="E80" i="8" s="1"/>
  <c r="B80" i="8"/>
  <c r="K80" i="8" l="1"/>
  <c r="G36" i="24" l="1"/>
  <c r="F11" i="24" s="1"/>
  <c r="G8" i="24" s="1"/>
  <c r="F9" i="19"/>
  <c r="G9" i="19" s="1"/>
  <c r="F10" i="19"/>
  <c r="G10" i="19" s="1"/>
  <c r="E10" i="19"/>
  <c r="F11" i="19" l="1"/>
  <c r="G11" i="19" s="1"/>
  <c r="E11" i="19"/>
  <c r="E12" i="19" l="1"/>
  <c r="F12" i="19"/>
  <c r="G12" i="19" s="1"/>
  <c r="F13" i="19" l="1"/>
  <c r="G13" i="19" s="1"/>
  <c r="E13" i="19"/>
  <c r="E14" i="19" l="1"/>
  <c r="F14" i="19"/>
  <c r="G14" i="19" s="1"/>
  <c r="F15" i="19" l="1"/>
  <c r="G15" i="19" s="1"/>
  <c r="E15" i="19"/>
  <c r="E16" i="19" l="1"/>
  <c r="E17" i="19" s="1"/>
  <c r="F16" i="19"/>
  <c r="G16" i="19" s="1"/>
  <c r="P17" i="19" l="1"/>
  <c r="S17" i="19"/>
  <c r="N17" i="19"/>
  <c r="E18" i="19"/>
  <c r="B31" i="18"/>
  <c r="N18" i="19" l="1"/>
  <c r="P18" i="19"/>
  <c r="S18" i="19"/>
  <c r="U17" i="19"/>
  <c r="E19" i="19"/>
  <c r="C3" i="19"/>
  <c r="D31" i="18"/>
  <c r="N19" i="19" l="1"/>
  <c r="S19" i="19"/>
  <c r="P19" i="19"/>
  <c r="U18" i="19"/>
  <c r="E20" i="19"/>
  <c r="N20" i="19" l="1"/>
  <c r="S20" i="19"/>
  <c r="P20" i="19"/>
  <c r="U19" i="19"/>
  <c r="E21" i="19"/>
  <c r="S21" i="19" l="1"/>
  <c r="P21" i="19"/>
  <c r="N21" i="19"/>
  <c r="U20" i="19"/>
  <c r="E22" i="19"/>
  <c r="S22" i="19" l="1"/>
  <c r="N22" i="19"/>
  <c r="P22" i="19"/>
  <c r="U21" i="19"/>
  <c r="E23" i="19"/>
  <c r="P23" i="19" l="1"/>
  <c r="N23" i="19"/>
  <c r="S23" i="19"/>
  <c r="U22" i="19"/>
  <c r="E24" i="19"/>
  <c r="N24" i="19" l="1"/>
  <c r="S24" i="19"/>
  <c r="P24" i="19"/>
  <c r="U23" i="19"/>
  <c r="E25" i="19"/>
  <c r="N25" i="19" l="1"/>
  <c r="S25" i="19"/>
  <c r="P25" i="19"/>
  <c r="U24" i="19"/>
  <c r="E26" i="19"/>
  <c r="S26" i="19" l="1"/>
  <c r="P26" i="19"/>
  <c r="N26" i="19"/>
  <c r="U25" i="19"/>
  <c r="E27" i="19"/>
  <c r="N27" i="19" l="1"/>
  <c r="P27" i="19"/>
  <c r="S27" i="19"/>
  <c r="U26" i="19"/>
  <c r="E28" i="19"/>
  <c r="N28" i="19" l="1"/>
  <c r="S28" i="19"/>
  <c r="P28" i="19"/>
  <c r="U27" i="19"/>
  <c r="E29" i="19"/>
  <c r="B62" i="1"/>
  <c r="N29" i="19" l="1"/>
  <c r="S29" i="19"/>
  <c r="P29" i="19"/>
  <c r="U28" i="19"/>
  <c r="E30" i="19"/>
  <c r="P30" i="19" l="1"/>
  <c r="S30" i="19"/>
  <c r="N30" i="19"/>
  <c r="U29" i="19"/>
  <c r="E31" i="19"/>
  <c r="B65" i="1"/>
  <c r="J2" i="6"/>
  <c r="S31" i="19" l="1"/>
  <c r="N31" i="19"/>
  <c r="P31" i="19"/>
  <c r="U30" i="19"/>
  <c r="E32" i="19"/>
  <c r="I17" i="6"/>
  <c r="C7" i="13"/>
  <c r="N32" i="19" l="1"/>
  <c r="S32" i="19"/>
  <c r="P32" i="19"/>
  <c r="U31" i="19"/>
  <c r="E33" i="19"/>
  <c r="I18" i="6"/>
  <c r="C4" i="13"/>
  <c r="C5" i="13" s="1"/>
  <c r="P33" i="19" l="1"/>
  <c r="N33" i="19"/>
  <c r="S33" i="19"/>
  <c r="U32" i="19"/>
  <c r="E34" i="19"/>
  <c r="J18" i="6"/>
  <c r="P34" i="19" l="1"/>
  <c r="N34" i="19"/>
  <c r="S34" i="19"/>
  <c r="U33" i="19"/>
  <c r="E35" i="19"/>
  <c r="P35" i="19" l="1"/>
  <c r="N35" i="19"/>
  <c r="S35" i="19"/>
  <c r="U34" i="19"/>
  <c r="E36" i="19"/>
  <c r="N36" i="19" l="1"/>
  <c r="P36" i="19"/>
  <c r="S36" i="19"/>
  <c r="U35" i="19"/>
  <c r="E37" i="19"/>
  <c r="S37" i="19" l="1"/>
  <c r="N37" i="19"/>
  <c r="P37" i="19"/>
  <c r="U36" i="19"/>
  <c r="E38" i="19"/>
  <c r="P38" i="19" l="1"/>
  <c r="S38" i="19"/>
  <c r="N38" i="19"/>
  <c r="U37" i="19"/>
  <c r="E39" i="19"/>
  <c r="N39" i="19" l="1"/>
  <c r="S39" i="19"/>
  <c r="P39" i="19"/>
  <c r="U38" i="19"/>
  <c r="E40" i="19"/>
  <c r="N40" i="19" l="1"/>
  <c r="P40" i="19"/>
  <c r="S40" i="19"/>
  <c r="U39" i="19"/>
  <c r="E41" i="19"/>
  <c r="P41" i="19" l="1"/>
  <c r="N41" i="19"/>
  <c r="S41" i="19"/>
  <c r="U40" i="19"/>
  <c r="E42" i="19"/>
  <c r="S42" i="19" l="1"/>
  <c r="P42" i="19"/>
  <c r="N42" i="19"/>
  <c r="E43" i="19"/>
  <c r="U41" i="19"/>
  <c r="P43" i="19" l="1"/>
  <c r="S43" i="19"/>
  <c r="N43" i="19"/>
  <c r="U42" i="19"/>
  <c r="E44" i="19"/>
  <c r="N44" i="19" l="1"/>
  <c r="P44" i="19"/>
  <c r="S44" i="19"/>
  <c r="U43" i="19"/>
  <c r="E45" i="19"/>
  <c r="P45" i="19" l="1"/>
  <c r="S45" i="19"/>
  <c r="N45" i="19"/>
  <c r="U44" i="19"/>
  <c r="E46" i="19"/>
  <c r="N46" i="19" l="1"/>
  <c r="S46" i="19"/>
  <c r="P46" i="19"/>
  <c r="U45" i="19"/>
  <c r="E47" i="19"/>
  <c r="S47" i="19" l="1"/>
  <c r="P47" i="19"/>
  <c r="N47" i="19"/>
  <c r="U46" i="19"/>
  <c r="E48" i="19"/>
  <c r="N48" i="19" l="1"/>
  <c r="S48" i="19"/>
  <c r="P48" i="19"/>
  <c r="U47" i="19"/>
  <c r="E49" i="19"/>
  <c r="P49" i="19" l="1"/>
  <c r="N49" i="19"/>
  <c r="S49" i="19"/>
  <c r="U48" i="19"/>
  <c r="E50" i="19"/>
  <c r="N50" i="19" l="1"/>
  <c r="S50" i="19"/>
  <c r="P50" i="19"/>
  <c r="U49" i="19"/>
  <c r="E51" i="19"/>
  <c r="S51" i="19" l="1"/>
  <c r="N51" i="19"/>
  <c r="P51" i="19"/>
  <c r="U50" i="19"/>
  <c r="E52" i="19"/>
  <c r="N52" i="19" l="1"/>
  <c r="S52" i="19"/>
  <c r="P52" i="19"/>
  <c r="U51" i="19"/>
  <c r="E53" i="19"/>
  <c r="S53" i="19" l="1"/>
  <c r="P53" i="19"/>
  <c r="N53" i="19"/>
  <c r="U52" i="19"/>
  <c r="E54" i="19"/>
  <c r="P54" i="19" l="1"/>
  <c r="N54" i="19"/>
  <c r="S54" i="19"/>
  <c r="U53" i="19"/>
  <c r="E55" i="19"/>
  <c r="P55" i="19" l="1"/>
  <c r="N55" i="19"/>
  <c r="S55" i="19"/>
  <c r="U54" i="19"/>
  <c r="E56" i="19"/>
  <c r="N56" i="19" l="1"/>
  <c r="S56" i="19"/>
  <c r="P56" i="19"/>
  <c r="U55" i="19"/>
  <c r="E57" i="19"/>
  <c r="N57" i="19" l="1"/>
  <c r="P57" i="19"/>
  <c r="S57" i="19"/>
  <c r="U56" i="19"/>
  <c r="E58" i="19"/>
  <c r="S58" i="19" l="1"/>
  <c r="P58" i="19"/>
  <c r="N58" i="19"/>
  <c r="U57" i="19"/>
  <c r="E59" i="19"/>
  <c r="P59" i="19" l="1"/>
  <c r="N59" i="19"/>
  <c r="S59" i="19"/>
  <c r="U58" i="19"/>
  <c r="E60" i="19"/>
  <c r="N60" i="19" l="1"/>
  <c r="P60" i="19"/>
  <c r="S60" i="19"/>
  <c r="U59" i="19"/>
  <c r="E61" i="19"/>
  <c r="N61" i="19" l="1"/>
  <c r="P61" i="19"/>
  <c r="S61" i="19"/>
  <c r="U60" i="19"/>
  <c r="E62" i="19"/>
  <c r="N62" i="19" l="1"/>
  <c r="S62" i="19"/>
  <c r="P62" i="19"/>
  <c r="U61" i="19"/>
  <c r="E63" i="19"/>
  <c r="S63" i="19" l="1"/>
  <c r="P63" i="19"/>
  <c r="N63" i="19"/>
  <c r="U62" i="19"/>
  <c r="E64" i="19"/>
  <c r="N64" i="19" l="1"/>
  <c r="S64" i="19"/>
  <c r="P64" i="19"/>
  <c r="U63" i="19"/>
  <c r="E65" i="19"/>
  <c r="P65" i="19" l="1"/>
  <c r="S65" i="19"/>
  <c r="N65" i="19"/>
  <c r="U64" i="19"/>
  <c r="E66" i="19"/>
  <c r="U65" i="19" l="1"/>
  <c r="P66" i="19"/>
  <c r="N66" i="19"/>
  <c r="S66" i="19"/>
  <c r="E67" i="19"/>
  <c r="U66" i="19" l="1"/>
  <c r="N67" i="19"/>
  <c r="P67" i="19"/>
  <c r="S67" i="19"/>
  <c r="E68" i="19"/>
  <c r="U67" i="19" l="1"/>
  <c r="N68" i="19"/>
  <c r="P68" i="19"/>
  <c r="S68" i="19"/>
  <c r="E69" i="19"/>
  <c r="U68" i="19" l="1"/>
  <c r="P69" i="19"/>
  <c r="N69" i="19"/>
  <c r="S69" i="19"/>
  <c r="E70" i="19"/>
  <c r="U69" i="19" l="1"/>
  <c r="N70" i="19"/>
  <c r="P70" i="19"/>
  <c r="S70" i="19"/>
  <c r="E71" i="19"/>
  <c r="P71" i="19" l="1"/>
  <c r="N71" i="19"/>
  <c r="S71" i="19"/>
  <c r="U70" i="19"/>
  <c r="E72" i="19"/>
  <c r="U71" i="19" l="1"/>
  <c r="N72" i="19"/>
  <c r="S72" i="19"/>
  <c r="P72" i="19"/>
  <c r="E73" i="19"/>
  <c r="N73" i="19" l="1"/>
  <c r="P73" i="19"/>
  <c r="S73" i="19"/>
  <c r="U72" i="19"/>
  <c r="E74" i="19"/>
  <c r="S74" i="19" l="1"/>
  <c r="N74" i="19"/>
  <c r="P74" i="19"/>
  <c r="U73" i="19"/>
  <c r="E75" i="19"/>
  <c r="U74" i="19" l="1"/>
  <c r="S75" i="19"/>
  <c r="P75" i="19"/>
  <c r="N75" i="19"/>
  <c r="E76" i="19"/>
  <c r="S76" i="19" l="1"/>
  <c r="N76" i="19"/>
  <c r="P76" i="19"/>
  <c r="U75" i="19"/>
  <c r="E77" i="19"/>
  <c r="U76" i="19" l="1"/>
  <c r="N77" i="19"/>
  <c r="P77" i="19"/>
  <c r="S77" i="19"/>
  <c r="E78" i="19"/>
  <c r="E79" i="19" s="1"/>
  <c r="E80" i="19" s="1"/>
  <c r="E81" i="19" s="1"/>
  <c r="E82" i="19" s="1"/>
  <c r="E83" i="19" s="1"/>
  <c r="E84" i="19" s="1"/>
  <c r="E85" i="19" s="1"/>
  <c r="E86" i="19" s="1"/>
  <c r="E87" i="19" s="1"/>
  <c r="E88" i="19" s="1"/>
  <c r="E89" i="19" s="1"/>
  <c r="E90" i="19" s="1"/>
  <c r="E91" i="19" s="1"/>
  <c r="E92" i="19" s="1"/>
  <c r="E93" i="19" s="1"/>
  <c r="E94" i="19" s="1"/>
  <c r="E95" i="19" s="1"/>
  <c r="E96" i="19" s="1"/>
  <c r="E97" i="19" s="1"/>
  <c r="E98" i="19" s="1"/>
  <c r="E99" i="19" s="1"/>
  <c r="E100" i="19" s="1"/>
  <c r="E101" i="19" s="1"/>
  <c r="E102" i="19" s="1"/>
  <c r="E103" i="19" s="1"/>
  <c r="E104" i="19" s="1"/>
  <c r="E105" i="19" s="1"/>
  <c r="E106" i="19" s="1"/>
  <c r="E107" i="19" s="1"/>
  <c r="E108" i="19" s="1"/>
  <c r="E109" i="19" s="1"/>
  <c r="E110" i="19" s="1"/>
  <c r="E111" i="19" s="1"/>
  <c r="E112" i="19" s="1"/>
  <c r="E113" i="19" s="1"/>
  <c r="E114" i="19" s="1"/>
  <c r="E115" i="19" s="1"/>
  <c r="E116" i="19" s="1"/>
  <c r="E117" i="19" s="1"/>
  <c r="E118" i="19" s="1"/>
  <c r="E119" i="19" s="1"/>
  <c r="E120" i="19" s="1"/>
  <c r="E121" i="19" s="1"/>
  <c r="E122" i="19" s="1"/>
  <c r="E123" i="19" s="1"/>
  <c r="E124" i="19" s="1"/>
  <c r="E125" i="19" s="1"/>
  <c r="E126" i="19" s="1"/>
  <c r="E127" i="19" s="1"/>
  <c r="E128" i="19" s="1"/>
  <c r="E129" i="19" s="1"/>
  <c r="E130" i="19" s="1"/>
  <c r="E131" i="19" s="1"/>
  <c r="E132" i="19" s="1"/>
  <c r="E133" i="19" s="1"/>
  <c r="E134" i="19" s="1"/>
  <c r="E135" i="19" s="1"/>
  <c r="E136" i="19" s="1"/>
  <c r="E137" i="19" s="1"/>
  <c r="E138" i="19" s="1"/>
  <c r="U77" i="19" l="1"/>
  <c r="C18" i="18" l="1"/>
  <c r="E42" i="18" s="1"/>
  <c r="B39" i="1" s="1"/>
  <c r="J14" i="19"/>
  <c r="J10" i="19"/>
  <c r="L10" i="19" s="1"/>
  <c r="M10" i="19" s="1"/>
  <c r="J11" i="19"/>
  <c r="J12" i="19"/>
  <c r="J16" i="19"/>
  <c r="J15" i="19"/>
  <c r="J9" i="19"/>
  <c r="L9" i="19" s="1"/>
  <c r="E40" i="18"/>
  <c r="E39" i="18" s="1"/>
  <c r="J13" i="19"/>
  <c r="P9" i="19" l="1"/>
  <c r="S9" i="19"/>
  <c r="N9" i="19"/>
  <c r="S10" i="19"/>
  <c r="P10" i="19"/>
  <c r="N10" i="19"/>
  <c r="O10" i="19"/>
  <c r="Q10" i="19"/>
  <c r="R10" i="19"/>
  <c r="R9" i="19"/>
  <c r="M9" i="19"/>
  <c r="Q9" i="19"/>
  <c r="O9" i="19"/>
  <c r="K16" i="19"/>
  <c r="L16" i="19"/>
  <c r="M16" i="19" s="1"/>
  <c r="K15" i="19"/>
  <c r="L15" i="19"/>
  <c r="M15" i="19" s="1"/>
  <c r="K10" i="19"/>
  <c r="K14" i="19"/>
  <c r="L14" i="19"/>
  <c r="M14" i="19" s="1"/>
  <c r="K12" i="19"/>
  <c r="L12" i="19"/>
  <c r="M12" i="19" s="1"/>
  <c r="K13" i="19"/>
  <c r="L13" i="19"/>
  <c r="M13" i="19" s="1"/>
  <c r="K11" i="19"/>
  <c r="L11" i="19"/>
  <c r="M11" i="19" s="1"/>
  <c r="C19" i="18"/>
  <c r="K9" i="19"/>
  <c r="E55" i="18"/>
  <c r="E56" i="18" s="1"/>
  <c r="E58" i="18" s="1"/>
  <c r="C1" i="19"/>
  <c r="U9" i="19" l="1"/>
  <c r="P13" i="19"/>
  <c r="N13" i="19"/>
  <c r="S13" i="19"/>
  <c r="O13" i="19"/>
  <c r="R13" i="19"/>
  <c r="Q13" i="19"/>
  <c r="N16" i="19"/>
  <c r="Q16" i="19"/>
  <c r="R16" i="19"/>
  <c r="P16" i="19"/>
  <c r="S16" i="19"/>
  <c r="O16" i="19"/>
  <c r="N12" i="19"/>
  <c r="R12" i="19"/>
  <c r="P12" i="19"/>
  <c r="O12" i="19"/>
  <c r="Q12" i="19"/>
  <c r="S12" i="19"/>
  <c r="S14" i="19"/>
  <c r="P14" i="19"/>
  <c r="N14" i="19"/>
  <c r="O14" i="19"/>
  <c r="Q14" i="19"/>
  <c r="R14" i="19"/>
  <c r="P11" i="19"/>
  <c r="S11" i="19"/>
  <c r="N11" i="19"/>
  <c r="R11" i="19"/>
  <c r="Q11" i="19"/>
  <c r="O11" i="19"/>
  <c r="S15" i="19"/>
  <c r="N15" i="19"/>
  <c r="P15" i="19"/>
  <c r="R15" i="19"/>
  <c r="Q15" i="19"/>
  <c r="O15" i="19"/>
  <c r="D19" i="18"/>
  <c r="B38" i="1"/>
  <c r="B44" i="1" s="1"/>
  <c r="C17" i="1" s="1"/>
  <c r="F66" i="18"/>
  <c r="E59" i="18"/>
  <c r="E60" i="18" s="1"/>
  <c r="E68" i="18" s="1"/>
  <c r="F68" i="18" s="1"/>
  <c r="C26" i="18" l="1"/>
  <c r="F26" i="18" s="1"/>
  <c r="C25" i="18"/>
  <c r="E25" i="18" s="1"/>
  <c r="C23" i="18"/>
  <c r="C20" i="18"/>
  <c r="E20" i="18" s="1"/>
  <c r="C22" i="18"/>
  <c r="E22" i="18" s="1"/>
  <c r="U11" i="19"/>
  <c r="U15" i="19"/>
  <c r="U16" i="19"/>
  <c r="U13" i="19"/>
  <c r="C24" i="18"/>
  <c r="E24" i="18" s="1"/>
  <c r="U14" i="19"/>
  <c r="U10" i="19"/>
  <c r="U12" i="19"/>
  <c r="C21" i="18"/>
  <c r="C38" i="1"/>
  <c r="C27" i="1" l="1"/>
  <c r="I27" i="1" s="1"/>
  <c r="E26" i="18"/>
  <c r="F23" i="18"/>
  <c r="C21" i="1"/>
  <c r="E23" i="18"/>
  <c r="F21" i="18"/>
  <c r="L2" i="18" s="1"/>
  <c r="C24" i="1"/>
  <c r="I24" i="1" s="1"/>
  <c r="F20" i="18"/>
  <c r="F25" i="18"/>
  <c r="C26" i="1"/>
  <c r="I26" i="1" s="1"/>
  <c r="C25" i="1"/>
  <c r="I25" i="1" s="1"/>
  <c r="F24" i="18"/>
  <c r="C22" i="1"/>
  <c r="I22" i="1" s="1"/>
  <c r="F22" i="18"/>
  <c r="C27" i="18"/>
  <c r="C23" i="1"/>
  <c r="I23" i="1" s="1"/>
  <c r="E21" i="18"/>
  <c r="B30" i="1"/>
  <c r="C29" i="1" l="1"/>
  <c r="L21" i="1"/>
  <c r="L22" i="1" s="1"/>
  <c r="I21" i="1"/>
  <c r="I29" i="1" s="1"/>
  <c r="D24" i="1"/>
  <c r="E25" i="1"/>
  <c r="F25" i="1" s="1"/>
  <c r="D23" i="1"/>
  <c r="D22" i="1"/>
  <c r="E24" i="1"/>
  <c r="F24" i="1" s="1"/>
  <c r="E26" i="1"/>
  <c r="F26" i="1" s="1"/>
  <c r="D26" i="1"/>
  <c r="E27" i="1"/>
  <c r="F27" i="1" s="1"/>
  <c r="D27" i="1"/>
  <c r="D21" i="1"/>
  <c r="E21" i="1"/>
  <c r="F21" i="1" s="1"/>
  <c r="D25" i="1"/>
  <c r="C27" i="13"/>
  <c r="C29" i="13" s="1"/>
  <c r="C28" i="13" s="1"/>
  <c r="E22" i="1"/>
  <c r="F22" i="1" s="1"/>
  <c r="D27" i="13"/>
  <c r="E23" i="1"/>
  <c r="F23" i="1" s="1"/>
  <c r="F30" i="1"/>
  <c r="C2" i="8"/>
  <c r="D1" i="9"/>
  <c r="B34" i="1" l="1"/>
  <c r="B33" i="1"/>
  <c r="F29" i="1" s="1"/>
  <c r="B32" i="1"/>
  <c r="B31" i="1"/>
  <c r="D29" i="1"/>
  <c r="K21" i="1"/>
  <c r="J21" i="1"/>
  <c r="E27" i="13"/>
  <c r="E29" i="13" s="1"/>
  <c r="D28" i="13"/>
  <c r="D29" i="13"/>
  <c r="E28" i="13" l="1"/>
  <c r="C32" i="13"/>
  <c r="C35" i="13"/>
  <c r="E44" i="13" s="1"/>
  <c r="C34" i="13"/>
  <c r="C43" i="13" s="1"/>
  <c r="B66" i="1" s="1"/>
  <c r="I29" i="13"/>
  <c r="C36" i="13" l="1"/>
  <c r="C44" i="13" s="1"/>
  <c r="B77" i="1" s="1"/>
  <c r="E35" i="13"/>
  <c r="E34" i="13"/>
  <c r="D66" i="1"/>
  <c r="E66" i="1"/>
  <c r="B71" i="1"/>
  <c r="D50" i="1" s="1"/>
  <c r="F50" i="1" s="1"/>
  <c r="C47" i="13" l="1"/>
  <c r="C48" i="13" s="1"/>
  <c r="B80" i="1"/>
  <c r="B84" i="1" s="1"/>
  <c r="B73" i="1"/>
  <c r="C73" i="1"/>
  <c r="B74" i="1"/>
  <c r="F9" i="1" s="1"/>
  <c r="D29" i="27"/>
  <c r="C71" i="1"/>
  <c r="D52" i="1"/>
  <c r="F52" i="1" s="1"/>
  <c r="G24" i="17"/>
  <c r="D95" i="1"/>
  <c r="F95" i="1" s="1"/>
  <c r="D98" i="1"/>
  <c r="F98" i="1" s="1"/>
  <c r="D96" i="1"/>
  <c r="F96" i="1" s="1"/>
  <c r="D97" i="1"/>
  <c r="F97" i="1" s="1"/>
  <c r="B83" i="1" l="1"/>
  <c r="G20" i="17"/>
  <c r="E83" i="1"/>
  <c r="I95" i="1"/>
  <c r="J95" i="1" s="1"/>
  <c r="H95" i="1"/>
  <c r="H97" i="1"/>
  <c r="I97" i="1"/>
  <c r="J97" i="1" s="1"/>
  <c r="E84" i="1"/>
  <c r="D93" i="1" s="1"/>
  <c r="F93" i="1" s="1"/>
  <c r="H93" i="1" s="1"/>
  <c r="G22" i="17"/>
  <c r="G21" i="17"/>
  <c r="D30" i="27"/>
  <c r="I96" i="1"/>
  <c r="J96" i="1" s="1"/>
  <c r="H96" i="1"/>
  <c r="H98" i="1"/>
  <c r="M99" i="1"/>
  <c r="M100" i="1" s="1"/>
  <c r="I98" i="1"/>
  <c r="J98" i="1" s="1"/>
  <c r="D91" i="1" l="1"/>
  <c r="D89" i="1"/>
  <c r="F91" i="1" l="1"/>
  <c r="B104" i="1"/>
  <c r="B107" i="1" s="1"/>
  <c r="B100" i="1"/>
  <c r="B102" i="1" s="1"/>
  <c r="F94" i="1"/>
  <c r="F89" i="1"/>
  <c r="H89" i="1" s="1"/>
  <c r="D51" i="1"/>
  <c r="J107" i="1" l="1"/>
  <c r="H91" i="1"/>
  <c r="H94" i="1" s="1"/>
  <c r="B49" i="1"/>
  <c r="F51" i="1"/>
  <c r="D49" i="1" l="1"/>
  <c r="E9" i="1" s="1"/>
</calcChain>
</file>

<file path=xl/sharedStrings.xml><?xml version="1.0" encoding="utf-8"?>
<sst xmlns="http://schemas.openxmlformats.org/spreadsheetml/2006/main" count="1243" uniqueCount="941">
  <si>
    <t>Light Year</t>
  </si>
  <si>
    <t>m</t>
  </si>
  <si>
    <t>m/s/s</t>
  </si>
  <si>
    <t>s</t>
  </si>
  <si>
    <t>year</t>
  </si>
  <si>
    <t>Accelleration</t>
  </si>
  <si>
    <t>Seconds in year</t>
  </si>
  <si>
    <t>G</t>
  </si>
  <si>
    <t>Year</t>
  </si>
  <si>
    <t>Speed of Light</t>
  </si>
  <si>
    <t>Total</t>
  </si>
  <si>
    <t>Soil Depth</t>
  </si>
  <si>
    <t>m^2</t>
  </si>
  <si>
    <t>Beam Capacity</t>
  </si>
  <si>
    <t>Mass per m</t>
  </si>
  <si>
    <t>kg/m</t>
  </si>
  <si>
    <t>Soil Mass</t>
  </si>
  <si>
    <t>Propulsion System</t>
  </si>
  <si>
    <t>Total Vehicle Mass</t>
  </si>
  <si>
    <t>Mass of eros</t>
  </si>
  <si>
    <t>million m^2</t>
  </si>
  <si>
    <t>American football fields</t>
  </si>
  <si>
    <t>Acres</t>
  </si>
  <si>
    <t>Square Miles</t>
  </si>
  <si>
    <t>Death</t>
  </si>
  <si>
    <t>Death Rate Info https://www.allcountries.org/uscensus/129_death_and_death_rates_by_age.html</t>
  </si>
  <si>
    <t>DT</t>
  </si>
  <si>
    <t>Elderly %</t>
  </si>
  <si>
    <t>Peak</t>
  </si>
  <si>
    <t>Min</t>
  </si>
  <si>
    <t>Final</t>
  </si>
  <si>
    <t>Natural</t>
  </si>
  <si>
    <t>Seed Females</t>
  </si>
  <si>
    <t>M/F Ratio</t>
  </si>
  <si>
    <t>Seed Male</t>
  </si>
  <si>
    <t>Survival Rate</t>
  </si>
  <si>
    <t>Child/Female</t>
  </si>
  <si>
    <t>Fertile Female</t>
  </si>
  <si>
    <t>Over 70</t>
  </si>
  <si>
    <t>Children</t>
  </si>
  <si>
    <t>Pop Max</t>
  </si>
  <si>
    <t>Pop Start</t>
  </si>
  <si>
    <t>Peak Population</t>
  </si>
  <si>
    <t>kg</t>
  </si>
  <si>
    <t>Mass of ceres</t>
  </si>
  <si>
    <t>e = m c^2</t>
  </si>
  <si>
    <t>https://f4e.europa.eu/understandingfusion/merits.aspx</t>
  </si>
  <si>
    <t>Impulse</t>
  </si>
  <si>
    <t>Deuterium</t>
  </si>
  <si>
    <t>Lithium</t>
  </si>
  <si>
    <t>https://www.space.com/37146-nuclear-fusion-rockets-interstellar-spaceflight.html</t>
  </si>
  <si>
    <t>https://earthsky.org/space/rosettas-comet-fuels-debate-on-origin-of-earths-oceans</t>
  </si>
  <si>
    <t>comet 3x deuterium concentration</t>
  </si>
  <si>
    <t>Goal: 1 kW/kg fusion</t>
  </si>
  <si>
    <t>Mass of spacecraft * accelleration * time</t>
  </si>
  <si>
    <t>Dry Mass</t>
  </si>
  <si>
    <t>Fuel Mass Estimate</t>
  </si>
  <si>
    <t>Dry Mass Estimate</t>
  </si>
  <si>
    <t>Child %</t>
  </si>
  <si>
    <t>Seed Child</t>
  </si>
  <si>
    <t>Seed %</t>
  </si>
  <si>
    <t>Carry</t>
  </si>
  <si>
    <t>Promote</t>
  </si>
  <si>
    <t>Agriculture Calculations</t>
  </si>
  <si>
    <t>Graze Area</t>
  </si>
  <si>
    <t>km^2</t>
  </si>
  <si>
    <t>Max Dense</t>
  </si>
  <si>
    <t>Calf</t>
  </si>
  <si>
    <t>Oxen</t>
  </si>
  <si>
    <t>Cow</t>
  </si>
  <si>
    <t>Bull</t>
  </si>
  <si>
    <t>Heifer</t>
  </si>
  <si>
    <t>Year:</t>
  </si>
  <si>
    <t>calf</t>
  </si>
  <si>
    <t>Cultivation</t>
  </si>
  <si>
    <t>https://en.wikipedia.org/wiki/Carucate</t>
  </si>
  <si>
    <t>Total Area:</t>
  </si>
  <si>
    <t>Oxen:</t>
  </si>
  <si>
    <t>https://www.drovers.com/article/breeding-season-bull-management</t>
  </si>
  <si>
    <t>Cows</t>
  </si>
  <si>
    <t>Bulls</t>
  </si>
  <si>
    <t>cow:bull</t>
  </si>
  <si>
    <t>Cull bull</t>
  </si>
  <si>
    <t>Cull Cow</t>
  </si>
  <si>
    <t>Beef Production</t>
  </si>
  <si>
    <t>Delta</t>
  </si>
  <si>
    <t>Harvest</t>
  </si>
  <si>
    <t>Target Population</t>
  </si>
  <si>
    <t>Target Population:</t>
  </si>
  <si>
    <t>Milk</t>
  </si>
  <si>
    <t>Cow/Bull Ratio</t>
  </si>
  <si>
    <t>Steer</t>
  </si>
  <si>
    <t>Target Dairy:</t>
  </si>
  <si>
    <t>Beef / Head</t>
  </si>
  <si>
    <t>Target Beef/capita:</t>
  </si>
  <si>
    <t>Replacement Rate (Ox, Steer)</t>
  </si>
  <si>
    <t>Replacement Rate (Cow, Bull)</t>
  </si>
  <si>
    <t>https://en.wikipedia.org/wiki/List_of_countries_by_milk_consumption_per_capita</t>
  </si>
  <si>
    <t>kg/capita/year</t>
  </si>
  <si>
    <t>head</t>
  </si>
  <si>
    <t>Milk / Cow</t>
  </si>
  <si>
    <t>kg/cow/day</t>
  </si>
  <si>
    <t>Human Population</t>
  </si>
  <si>
    <t>Crops</t>
  </si>
  <si>
    <t>Wheat</t>
  </si>
  <si>
    <t>kg Per Capita</t>
  </si>
  <si>
    <t>kg / Hectare</t>
  </si>
  <si>
    <t>Potato</t>
  </si>
  <si>
    <t>Barley</t>
  </si>
  <si>
    <t>Total Area utilized</t>
  </si>
  <si>
    <t>Cotton</t>
  </si>
  <si>
    <t>Bamboo</t>
  </si>
  <si>
    <t>Apples</t>
  </si>
  <si>
    <t>Other Fruit</t>
  </si>
  <si>
    <t>Peanuts</t>
  </si>
  <si>
    <t>http://www.prep-blog.com/2013/04/18/survival-gardening-the-most-productive-calorie-crops/</t>
  </si>
  <si>
    <t>Amaranth</t>
  </si>
  <si>
    <t>Soybeans</t>
  </si>
  <si>
    <t>Quinoa</t>
  </si>
  <si>
    <t>Garlic</t>
  </si>
  <si>
    <t>Cargo Capacity</t>
  </si>
  <si>
    <t>http://www.projectrho.com/public_html/rocket/enginelist.php</t>
  </si>
  <si>
    <t>Radius</t>
  </si>
  <si>
    <t>km^2/acre</t>
  </si>
  <si>
    <t>km^2/hectare</t>
  </si>
  <si>
    <t>head/hectar</t>
  </si>
  <si>
    <t>Cocoa</t>
  </si>
  <si>
    <t>Coffee</t>
  </si>
  <si>
    <t>Tea</t>
  </si>
  <si>
    <t>grapes</t>
  </si>
  <si>
    <t>au</t>
  </si>
  <si>
    <t>hectare</t>
  </si>
  <si>
    <t>kg/person</t>
  </si>
  <si>
    <t>Cattle Range:</t>
  </si>
  <si>
    <t>Crops Range:</t>
  </si>
  <si>
    <t>Settlement Area:</t>
  </si>
  <si>
    <t>Plow</t>
  </si>
  <si>
    <t>Total allocated Area:</t>
  </si>
  <si>
    <t>Population</t>
  </si>
  <si>
    <t>Per Capita Usage</t>
  </si>
  <si>
    <t>Average Power Usage</t>
  </si>
  <si>
    <t>Efficiency</t>
  </si>
  <si>
    <t>Watt per kg</t>
  </si>
  <si>
    <t>Power System</t>
  </si>
  <si>
    <t>Safety Factor</t>
  </si>
  <si>
    <t>Mission Length</t>
  </si>
  <si>
    <t>Fuel Mass (Propulsion):</t>
  </si>
  <si>
    <t>Fuel Mass (Power):</t>
  </si>
  <si>
    <t>Survival Duration</t>
  </si>
  <si>
    <t>kg/w</t>
  </si>
  <si>
    <t>7 billion kwh / 3100kg fuel</t>
  </si>
  <si>
    <t>(Assuming equivilent to early 21st century Iceland)</t>
  </si>
  <si>
    <t>kwH/yr</t>
  </si>
  <si>
    <t>Lighting Power Usage</t>
  </si>
  <si>
    <t>w</t>
  </si>
  <si>
    <t>kwh/yr -&gt; watt</t>
  </si>
  <si>
    <t>kg/kwh</t>
  </si>
  <si>
    <t>Hours/year</t>
  </si>
  <si>
    <t>Fusion Fuel Usage</t>
  </si>
  <si>
    <t>Lighting Mass / w</t>
  </si>
  <si>
    <t>kg/watt</t>
  </si>
  <si>
    <t>Fusion Power Mass</t>
  </si>
  <si>
    <t>Power System Fuel / yr</t>
  </si>
  <si>
    <t>Total Power System Fuel Mass:</t>
  </si>
  <si>
    <t>Lighting System Mass</t>
  </si>
  <si>
    <t>Nimitz Carrier</t>
  </si>
  <si>
    <t>Nimitz Carriers</t>
  </si>
  <si>
    <t>Mole</t>
  </si>
  <si>
    <t>https://www.nextbigfuture.com/2012/06/what-is-energy-content-of-earths-water.html</t>
  </si>
  <si>
    <t>Heavy Water</t>
  </si>
  <si>
    <t>Moles</t>
  </si>
  <si>
    <t>Fuel Mass (raw)</t>
  </si>
  <si>
    <t>Comet Water</t>
  </si>
  <si>
    <t>Ratio Deuterium Comet Water</t>
  </si>
  <si>
    <t>Number of Equivilent Haley's Comets</t>
  </si>
  <si>
    <t>Ceres Water</t>
  </si>
  <si>
    <t>Mass of planet</t>
  </si>
  <si>
    <t>Mass of water on planet</t>
  </si>
  <si>
    <t>Computer Center</t>
  </si>
  <si>
    <t>Assuming Dexter cows and some minor technology tweaks</t>
  </si>
  <si>
    <t>Hypothetical 250kg cow that yields 75% meat</t>
  </si>
  <si>
    <t>Lower output than standard</t>
  </si>
  <si>
    <t>Seeweed</t>
  </si>
  <si>
    <t>kg/capita</t>
  </si>
  <si>
    <t>Water Depth</t>
  </si>
  <si>
    <t>Tuna</t>
  </si>
  <si>
    <t>Consumption</t>
  </si>
  <si>
    <t>Harvest Age</t>
  </si>
  <si>
    <t>salmon</t>
  </si>
  <si>
    <t>tilapia</t>
  </si>
  <si>
    <t>cod</t>
  </si>
  <si>
    <t>carp</t>
  </si>
  <si>
    <t>trout</t>
  </si>
  <si>
    <t>marine</t>
  </si>
  <si>
    <t>yes</t>
  </si>
  <si>
    <t>no</t>
  </si>
  <si>
    <t>Fish Per capita</t>
  </si>
  <si>
    <t>Density</t>
  </si>
  <si>
    <t>Tank Size</t>
  </si>
  <si>
    <t>m^3</t>
  </si>
  <si>
    <t>kg/m^3</t>
  </si>
  <si>
    <t>Mass of Meat</t>
  </si>
  <si>
    <t>Meat Yeild</t>
  </si>
  <si>
    <t>Mass of Fish</t>
  </si>
  <si>
    <t>m^2/person</t>
  </si>
  <si>
    <t>kilogram of oil (kgoe)</t>
  </si>
  <si>
    <t>kJ/kg</t>
  </si>
  <si>
    <t>kwh</t>
  </si>
  <si>
    <t>Agriculture Work</t>
  </si>
  <si>
    <t>http://www.fao.org/docrep/003/X8054E/x8054e05.htm</t>
  </si>
  <si>
    <t>kwh/hectare</t>
  </si>
  <si>
    <t>Area</t>
  </si>
  <si>
    <t>Average</t>
  </si>
  <si>
    <t>Feed/year</t>
  </si>
  <si>
    <t>Forage/Day/AU</t>
  </si>
  <si>
    <t>Kale</t>
  </si>
  <si>
    <t>Livestock Forage</t>
  </si>
  <si>
    <t>Cow population density assuming agriculturally grown forage</t>
  </si>
  <si>
    <t>Cricket Powder (to offset protein)</t>
  </si>
  <si>
    <t>Mass powder/capita</t>
  </si>
  <si>
    <t>Yeild per kg of organism</t>
  </si>
  <si>
    <t>Living kg of organism</t>
  </si>
  <si>
    <t>Feed kg / organism kg</t>
  </si>
  <si>
    <t>Mass powder/year</t>
  </si>
  <si>
    <t>Cattle</t>
  </si>
  <si>
    <t>Cricket</t>
  </si>
  <si>
    <t>Avg Mass</t>
  </si>
  <si>
    <t>Protein per day</t>
  </si>
  <si>
    <t>https://www.healthline.com/nutrition/how-much-protein-per-day</t>
  </si>
  <si>
    <t>g/kg/day</t>
  </si>
  <si>
    <t>kg/s</t>
  </si>
  <si>
    <t>Mission Cargo</t>
  </si>
  <si>
    <t>Steel Structure</t>
  </si>
  <si>
    <t>Material</t>
  </si>
  <si>
    <t>Tensile Strength</t>
  </si>
  <si>
    <t>N/mm^2</t>
  </si>
  <si>
    <t>Yield Point</t>
  </si>
  <si>
    <t>g/cm^3</t>
  </si>
  <si>
    <t>Nickle/Iron Alloy 52/48</t>
  </si>
  <si>
    <t>MPP</t>
  </si>
  <si>
    <t>Caloires</t>
  </si>
  <si>
    <t>kCal/Day</t>
  </si>
  <si>
    <t>Chicken</t>
  </si>
  <si>
    <t>Mass Chicken/Capita</t>
  </si>
  <si>
    <t>Mass Meat /year</t>
  </si>
  <si>
    <t>Yield per Kg of Organism</t>
  </si>
  <si>
    <t>Living Kg per organism</t>
  </si>
  <si>
    <t>https://www.gov.mb.ca/agriculture/livestock/production/poultry/basic-feeding-programs-for-small-chicken-flocks.html</t>
  </si>
  <si>
    <t>Broiler</t>
  </si>
  <si>
    <t>Roaster</t>
  </si>
  <si>
    <t>Egg Layer</t>
  </si>
  <si>
    <t>Feed (total)</t>
  </si>
  <si>
    <t>Kg protein / organism</t>
  </si>
  <si>
    <t>Feed (protein)</t>
  </si>
  <si>
    <t>%protein diet</t>
  </si>
  <si>
    <t>Medievel Estimate</t>
  </si>
  <si>
    <t>Raw Cultivattion Estimate</t>
  </si>
  <si>
    <t>Medieval Estimate</t>
  </si>
  <si>
    <t>Medieval Population Rate</t>
  </si>
  <si>
    <t>capita/km^2</t>
  </si>
  <si>
    <t>Livestock feed</t>
  </si>
  <si>
    <t>Straw (from other crops)</t>
  </si>
  <si>
    <t>Alfalfa</t>
  </si>
  <si>
    <t>Grass</t>
  </si>
  <si>
    <t>Straw can be derived from parts of plants in food production not eaten</t>
  </si>
  <si>
    <t>Grass only requires 0.2 meters of topsoil. Assume some sort of stacking cultivation system</t>
  </si>
  <si>
    <t>Human Crops</t>
  </si>
  <si>
    <t>Livestock crops</t>
  </si>
  <si>
    <t>Grass (cultivated)</t>
  </si>
  <si>
    <t>Grass (living + recreation area)</t>
  </si>
  <si>
    <t>Grass (graze range)</t>
  </si>
  <si>
    <t>lbs/capita</t>
  </si>
  <si>
    <t>(Slightly higher than switzerland)</t>
  </si>
  <si>
    <t>Pig</t>
  </si>
  <si>
    <t>Sugar Beets</t>
  </si>
  <si>
    <t>m^3 soil</t>
  </si>
  <si>
    <t>Soil Volume</t>
  </si>
  <si>
    <t>US 1990</t>
  </si>
  <si>
    <t>http://www.foodreference.com/html/f-chick-consp.html</t>
  </si>
  <si>
    <t>http://www.foodreference.com/html/fbeef.html</t>
  </si>
  <si>
    <t>Assuming pigs eat leftovers from everything</t>
  </si>
  <si>
    <t>Total Meat</t>
  </si>
  <si>
    <t>Mass / organism</t>
  </si>
  <si>
    <t>Number organism</t>
  </si>
  <si>
    <t>Feed Organism/Market</t>
  </si>
  <si>
    <t>https://countrysidenetwork.com/daily/livestock/pigs/feeding-a-pig-for-market/</t>
  </si>
  <si>
    <t>kg / pig</t>
  </si>
  <si>
    <t>Total Mass of Food/yr</t>
  </si>
  <si>
    <t>meat</t>
  </si>
  <si>
    <t>Capita</t>
  </si>
  <si>
    <t>cereals + produce</t>
  </si>
  <si>
    <t>Food Waste</t>
  </si>
  <si>
    <t>Feed (from scaps)</t>
  </si>
  <si>
    <t>http://www.foodreference.com/html/fpork.html</t>
  </si>
  <si>
    <t>Enclosure / Organism</t>
  </si>
  <si>
    <t>Enclosure total</t>
  </si>
  <si>
    <t>Living organizm</t>
  </si>
  <si>
    <t>Enclosure per organism</t>
  </si>
  <si>
    <t>Pigs</t>
  </si>
  <si>
    <t>Ruminant Total</t>
  </si>
  <si>
    <t>% grass</t>
  </si>
  <si>
    <t>Levels</t>
  </si>
  <si>
    <t>Soil Density</t>
  </si>
  <si>
    <t>Kg/m^2 manned space</t>
  </si>
  <si>
    <t>https://en.wikipedia.org/wiki/World_Trade_Center_(1973–2001)</t>
  </si>
  <si>
    <t>https://hypertextbook.com/facts/2004/EricChen.shtml</t>
  </si>
  <si>
    <t>Steel Constuction</t>
  </si>
  <si>
    <t>World Trade Center</t>
  </si>
  <si>
    <t>Floor Area</t>
  </si>
  <si>
    <t>Mass</t>
  </si>
  <si>
    <t>kg/m^2</t>
  </si>
  <si>
    <t>U.S. Steel Building</t>
  </si>
  <si>
    <t>https://en.wikipedia.org/wiki/U.S._Steel_Tower</t>
  </si>
  <si>
    <t>Soil</t>
  </si>
  <si>
    <t>PSFS Building</t>
  </si>
  <si>
    <t>https://cdn.ymaws.com/www.aspenational.org/resource/resmgr/Techical_Papers/2013_October_TP.pdf</t>
  </si>
  <si>
    <t>Includes concrete flooring</t>
  </si>
  <si>
    <t>Based on construction formulas</t>
  </si>
  <si>
    <t>Crew + Effects / per</t>
  </si>
  <si>
    <t>Water Tank/Rad shield</t>
  </si>
  <si>
    <t>Radition Shielding</t>
  </si>
  <si>
    <t>Thickness of water surrounding all habitat areas of ship</t>
  </si>
  <si>
    <t>Atmosphere</t>
  </si>
  <si>
    <t>Assuming STP 1.225 kg/m^3 and 90% of total interior volume</t>
  </si>
  <si>
    <t>https://settlement.arc.nasa.gov/75SummerStudy/Chapt4.html#Shielding</t>
  </si>
  <si>
    <t>4500 kg/m^2 needed</t>
  </si>
  <si>
    <t>Total Area</t>
  </si>
  <si>
    <t>3 * square Root of three</t>
  </si>
  <si>
    <t>Number of domes</t>
  </si>
  <si>
    <t>dy</t>
  </si>
  <si>
    <t>Design Area per dome</t>
  </si>
  <si>
    <t>Implementation area</t>
  </si>
  <si>
    <t>Surface area</t>
  </si>
  <si>
    <t>Number Domes</t>
  </si>
  <si>
    <t>Volume</t>
  </si>
  <si>
    <t>Radation Shielding</t>
  </si>
  <si>
    <t>Slice Area</t>
  </si>
  <si>
    <t>Dome Exterior Surface</t>
  </si>
  <si>
    <t>Dome Land Surface</t>
  </si>
  <si>
    <t>Dome Volume</t>
  </si>
  <si>
    <t>Dome Shield Mass</t>
  </si>
  <si>
    <t>Radiation Mass</t>
  </si>
  <si>
    <t>Dome Levels</t>
  </si>
  <si>
    <t>Total Land Area</t>
  </si>
  <si>
    <t>Dome Radius</t>
  </si>
  <si>
    <t>1 G Radius</t>
  </si>
  <si>
    <t>RPM</t>
  </si>
  <si>
    <t>Angular Speed</t>
  </si>
  <si>
    <t>Rot Radius</t>
  </si>
  <si>
    <t>%g</t>
  </si>
  <si>
    <t>Height</t>
  </si>
  <si>
    <t>h</t>
  </si>
  <si>
    <t>Verticle Usage</t>
  </si>
  <si>
    <t>long ton/ft^3</t>
  </si>
  <si>
    <t>Width</t>
  </si>
  <si>
    <t>Structure Mass</t>
  </si>
  <si>
    <t>Mass m^3</t>
  </si>
  <si>
    <t>G at apex</t>
  </si>
  <si>
    <t>area / volume</t>
  </si>
  <si>
    <t>Segment Length</t>
  </si>
  <si>
    <t>Dome Structure Mass</t>
  </si>
  <si>
    <t>Dome Structure</t>
  </si>
  <si>
    <t>Oats</t>
  </si>
  <si>
    <t>Cereals</t>
  </si>
  <si>
    <t>broccoli</t>
  </si>
  <si>
    <t>% protein</t>
  </si>
  <si>
    <t>% oil</t>
  </si>
  <si>
    <t>% EFA</t>
  </si>
  <si>
    <t>% carb</t>
  </si>
  <si>
    <t>kcal/m^2</t>
  </si>
  <si>
    <t>Cabbage</t>
  </si>
  <si>
    <t>camelina</t>
  </si>
  <si>
    <t>chia seeds</t>
  </si>
  <si>
    <t>Coconut Oil</t>
  </si>
  <si>
    <t>duckweed</t>
  </si>
  <si>
    <t>flaxseed</t>
  </si>
  <si>
    <t>fonio</t>
  </si>
  <si>
    <t>http://gardeningplaces.com/articles/nutrition-per-hectare1.htm</t>
  </si>
  <si>
    <t>hempseed</t>
  </si>
  <si>
    <t>lentils</t>
  </si>
  <si>
    <t>maize (corn)</t>
  </si>
  <si>
    <t>millet</t>
  </si>
  <si>
    <t>Nerica</t>
  </si>
  <si>
    <t>Olive Oil</t>
  </si>
  <si>
    <t>Palm Oil</t>
  </si>
  <si>
    <t>Palm Kernel Oil</t>
  </si>
  <si>
    <t>Peas - Dry</t>
  </si>
  <si>
    <t>Peas - Green</t>
  </si>
  <si>
    <t>Plaintains</t>
  </si>
  <si>
    <t>rapeseed (canola)</t>
  </si>
  <si>
    <t>Rice - paddy</t>
  </si>
  <si>
    <t>Rye</t>
  </si>
  <si>
    <t>sacha inchi</t>
  </si>
  <si>
    <t>safflower kernels</t>
  </si>
  <si>
    <t>sesame seeds</t>
  </si>
  <si>
    <t>sorghum - grain</t>
  </si>
  <si>
    <t>spelt</t>
  </si>
  <si>
    <t>sugarcane</t>
  </si>
  <si>
    <t>sunflower seeds</t>
  </si>
  <si>
    <t>sweet potatoes</t>
  </si>
  <si>
    <t>teff</t>
  </si>
  <si>
    <t>triticale</t>
  </si>
  <si>
    <t>Wild Rice</t>
  </si>
  <si>
    <t>yams</t>
  </si>
  <si>
    <t>Pumpkin</t>
  </si>
  <si>
    <t>Pumplkin seed</t>
  </si>
  <si>
    <t>Winged bean seeds</t>
  </si>
  <si>
    <t>winged bean pods</t>
  </si>
  <si>
    <t>winged bean tuber</t>
  </si>
  <si>
    <t>forage / hectare</t>
  </si>
  <si>
    <t>turnips</t>
  </si>
  <si>
    <t>Feed - Crops</t>
  </si>
  <si>
    <t>Organisms</t>
  </si>
  <si>
    <t>Food From Crops</t>
  </si>
  <si>
    <t>Number of organisms</t>
  </si>
  <si>
    <t>1 us ton/acre -&gt; kg/hectare</t>
  </si>
  <si>
    <t>Source A</t>
  </si>
  <si>
    <t>Source B</t>
  </si>
  <si>
    <t>http://www.gardensofeden.org/04%20Crop%20Yield%20Verification.htm</t>
  </si>
  <si>
    <t>Avacados</t>
  </si>
  <si>
    <t>Source</t>
  </si>
  <si>
    <t>A</t>
  </si>
  <si>
    <t>lb / Acre</t>
  </si>
  <si>
    <t>Almonds (shelled)</t>
  </si>
  <si>
    <t>Pecans - In Shell</t>
  </si>
  <si>
    <t>Pistachios</t>
  </si>
  <si>
    <t>Walnuts</t>
  </si>
  <si>
    <t>Apricots</t>
  </si>
  <si>
    <t>Cherry (sweet)</t>
  </si>
  <si>
    <t>Dates</t>
  </si>
  <si>
    <t>Figs</t>
  </si>
  <si>
    <t>Kiwi Fruit</t>
  </si>
  <si>
    <t>Nectarines</t>
  </si>
  <si>
    <t>Olives</t>
  </si>
  <si>
    <t>Peaches</t>
  </si>
  <si>
    <t>Pears</t>
  </si>
  <si>
    <t>Plums</t>
  </si>
  <si>
    <t>Spinach</t>
  </si>
  <si>
    <t>Carrot</t>
  </si>
  <si>
    <t>Onion</t>
  </si>
  <si>
    <t>Celery</t>
  </si>
  <si>
    <t>Tomato</t>
  </si>
  <si>
    <t>lettuce</t>
  </si>
  <si>
    <t>Caulflower</t>
  </si>
  <si>
    <t>Pepper, Bell</t>
  </si>
  <si>
    <t>Pepper, Black</t>
  </si>
  <si>
    <t>Squash, Summer</t>
  </si>
  <si>
    <t>Beet</t>
  </si>
  <si>
    <t>Cantaloupe</t>
  </si>
  <si>
    <t>Asparagus</t>
  </si>
  <si>
    <t>Cucumber</t>
  </si>
  <si>
    <t>Radish</t>
  </si>
  <si>
    <t>Watermellon</t>
  </si>
  <si>
    <t>Bean, Lima</t>
  </si>
  <si>
    <t>Bean, snap</t>
  </si>
  <si>
    <t>Beans, greeen</t>
  </si>
  <si>
    <t>Bean, dry</t>
  </si>
  <si>
    <t>Source C</t>
  </si>
  <si>
    <t>Chufa (tigernut)</t>
  </si>
  <si>
    <t>Grow Time</t>
  </si>
  <si>
    <t>days</t>
  </si>
  <si>
    <t>Source D</t>
  </si>
  <si>
    <t>https://www.gardenguides.com/134169-growing-times-vegetables.html</t>
  </si>
  <si>
    <t>Perennial</t>
  </si>
  <si>
    <t>Oranges</t>
  </si>
  <si>
    <t>Lemon</t>
  </si>
  <si>
    <t>Lime</t>
  </si>
  <si>
    <t>kg/year</t>
  </si>
  <si>
    <t>United States</t>
  </si>
  <si>
    <t>https://ourworldindata.org/diet-compositions</t>
  </si>
  <si>
    <t>kCal/kg</t>
  </si>
  <si>
    <t>Harvests</t>
  </si>
  <si>
    <t>Kg Food</t>
  </si>
  <si>
    <t>Kg Forage</t>
  </si>
  <si>
    <t>% forage</t>
  </si>
  <si>
    <t>Total Forage Source</t>
  </si>
  <si>
    <t>food</t>
  </si>
  <si>
    <t>forage</t>
  </si>
  <si>
    <t>Cal/day/person</t>
  </si>
  <si>
    <t>Grown</t>
  </si>
  <si>
    <t>Other Vegetables</t>
  </si>
  <si>
    <t>Class</t>
  </si>
  <si>
    <t>kcal/day</t>
  </si>
  <si>
    <t>Non-Food Crops</t>
  </si>
  <si>
    <t>Diet Design</t>
  </si>
  <si>
    <t>Other</t>
  </si>
  <si>
    <t>Sugar</t>
  </si>
  <si>
    <t>Japan</t>
  </si>
  <si>
    <t>Iceland</t>
  </si>
  <si>
    <t>Life Expectency</t>
  </si>
  <si>
    <t>Canada</t>
  </si>
  <si>
    <t>Russia</t>
  </si>
  <si>
    <t>China</t>
  </si>
  <si>
    <t>India</t>
  </si>
  <si>
    <t>Chad</t>
  </si>
  <si>
    <t>Diet Data:</t>
  </si>
  <si>
    <t>Life Expectency Data:</t>
  </si>
  <si>
    <t>Based of Year 2013Data from</t>
  </si>
  <si>
    <t>TCD</t>
  </si>
  <si>
    <t>Code</t>
  </si>
  <si>
    <t>CAN</t>
  </si>
  <si>
    <t>ISL</t>
  </si>
  <si>
    <t>IND</t>
  </si>
  <si>
    <t>Ireland</t>
  </si>
  <si>
    <t>IRL</t>
  </si>
  <si>
    <t>Saudi Arabia</t>
  </si>
  <si>
    <t>JPN</t>
  </si>
  <si>
    <t>CHN</t>
  </si>
  <si>
    <t>RUS</t>
  </si>
  <si>
    <t>SAU</t>
  </si>
  <si>
    <t>USA</t>
  </si>
  <si>
    <t>kcal (total)</t>
  </si>
  <si>
    <t>Australia</t>
  </si>
  <si>
    <t>AUS</t>
  </si>
  <si>
    <t>United Kingdom</t>
  </si>
  <si>
    <t>GBR</t>
  </si>
  <si>
    <t>South Korea</t>
  </si>
  <si>
    <t>KOR</t>
  </si>
  <si>
    <t>kilocalories per person per day</t>
  </si>
  <si>
    <t>Oils &amp; Fats</t>
  </si>
  <si>
    <t>Meat</t>
  </si>
  <si>
    <t>Dairy &amp; Eggs</t>
  </si>
  <si>
    <t>Fruits &amp; Vegetables</t>
  </si>
  <si>
    <t>Starchy Roots</t>
  </si>
  <si>
    <t>Pulses</t>
  </si>
  <si>
    <t>Cereals &amp; Grains</t>
  </si>
  <si>
    <t>Alcoholic Beverages</t>
  </si>
  <si>
    <t>Type</t>
  </si>
  <si>
    <t>Oil &amp; Fats</t>
  </si>
  <si>
    <t>Starchy Root</t>
  </si>
  <si>
    <t>Alcholic Beverages</t>
  </si>
  <si>
    <t>https://nutritionstudies.org/what-are-pulses-and-why-are-they-important/</t>
  </si>
  <si>
    <t>kcal/100g</t>
  </si>
  <si>
    <t>https://www.fatsecret.com/calories-nutrition/generic/sugar?portionid=55855&amp;portionamount=100.000</t>
  </si>
  <si>
    <t>https://www.fatsecret.com/calories-nutrition/generic/rice-white-cooked-regular?portionid=53181&amp;portionamount=100.000</t>
  </si>
  <si>
    <t>https://www.fatsecret.com/calories-nutrition/usda/potatoes-(flesh-without-skin-without-salt-boiled)?portionid=59236&amp;portionamount=100.000</t>
  </si>
  <si>
    <t>https://www.fatsecret.com/calories-nutrition/usda/green-peas?portionid=59195&amp;portionamount=100.000</t>
  </si>
  <si>
    <t>https://www.fatsecret.com/calories-nutrition/usda/red-table-wine?portionid=60471&amp;portionamount=100.000</t>
  </si>
  <si>
    <t>Fish</t>
  </si>
  <si>
    <t>Modeled as a generic organism that east primarly crickets</t>
  </si>
  <si>
    <t>kg / ea</t>
  </si>
  <si>
    <t>kg / capita</t>
  </si>
  <si>
    <t>Protein - Vegetable</t>
  </si>
  <si>
    <t>lux</t>
  </si>
  <si>
    <t>https://en.wikipedia.org/wiki/Daylight</t>
  </si>
  <si>
    <t>https://en.wikipedia.org/wiki/Moonlight</t>
  </si>
  <si>
    <t>https://www1.eere.energy.gov/buildings/publications/pdfs/ssl/led_energy_efficiency.pdf</t>
  </si>
  <si>
    <t>lumen/W</t>
  </si>
  <si>
    <t>MW</t>
  </si>
  <si>
    <t>Total Mass</t>
  </si>
  <si>
    <t>Fusion Reactor</t>
  </si>
  <si>
    <t>(Similar to propulsion System)</t>
  </si>
  <si>
    <t>Tritium Production</t>
  </si>
  <si>
    <t>Tritium Production/yr</t>
  </si>
  <si>
    <t>Cosmic Ray interactions with water in insulation</t>
  </si>
  <si>
    <t>Insulation Surface area</t>
  </si>
  <si>
    <t>He3 Production</t>
  </si>
  <si>
    <t>H2 production</t>
  </si>
  <si>
    <t>kg/yr</t>
  </si>
  <si>
    <t>Fuel Collected / yr</t>
  </si>
  <si>
    <t>https://ntrs.nasa.gov/archive/nasa/casi.ntrs.nasa.gov/19680012956.pdf</t>
  </si>
  <si>
    <t>Insulation loss/yr</t>
  </si>
  <si>
    <t>Gallery Rate</t>
  </si>
  <si>
    <t>1g Radius</t>
  </si>
  <si>
    <t>dy Standard</t>
  </si>
  <si>
    <t>(1 meter utility, 1-2 meter soil, 3-4 meter headspace)</t>
  </si>
  <si>
    <t>Dueterium Refining</t>
  </si>
  <si>
    <t>USD/kg</t>
  </si>
  <si>
    <t>Steel</t>
  </si>
  <si>
    <t>Lithium (pure)</t>
  </si>
  <si>
    <t>Lithium (li2co3)</t>
  </si>
  <si>
    <t>Flywheel Mass</t>
  </si>
  <si>
    <t>Flywheel Max Radius</t>
  </si>
  <si>
    <t>Moment of Inertia</t>
  </si>
  <si>
    <t>Angular Momentum</t>
  </si>
  <si>
    <t>Flywheel Inner Radius</t>
  </si>
  <si>
    <t>Flywheel Moment of Inertia</t>
  </si>
  <si>
    <t>Flywheel Thickness</t>
  </si>
  <si>
    <t>Flywheel Angular Speed</t>
  </si>
  <si>
    <t>Air Density</t>
  </si>
  <si>
    <t>Sphere + Flywheel</t>
  </si>
  <si>
    <t>Flywheel Density</t>
  </si>
  <si>
    <t>Length of a Nimtz Carrier</t>
  </si>
  <si>
    <t>in</t>
  </si>
  <si>
    <t>Length of Football Field</t>
  </si>
  <si>
    <t>2d Slice Area</t>
  </si>
  <si>
    <t>Floor Count</t>
  </si>
  <si>
    <t>Vertical Usage</t>
  </si>
  <si>
    <t>Spare Parts Factor</t>
  </si>
  <si>
    <t>Usage</t>
  </si>
  <si>
    <t>Park Area</t>
  </si>
  <si>
    <t>Settlement Area</t>
  </si>
  <si>
    <t>Agriculture</t>
  </si>
  <si>
    <t>Single</t>
  </si>
  <si>
    <t>Family</t>
  </si>
  <si>
    <t>Medical</t>
  </si>
  <si>
    <t>Human Services</t>
  </si>
  <si>
    <t>Manufacture</t>
  </si>
  <si>
    <t>Service Industry</t>
  </si>
  <si>
    <t>Craftsmen - Food</t>
  </si>
  <si>
    <t>Vendor</t>
  </si>
  <si>
    <t>Craftsmen - Art</t>
  </si>
  <si>
    <t>Craftsman - Misc</t>
  </si>
  <si>
    <t>Law Enforcement</t>
  </si>
  <si>
    <t>Per 100000</t>
  </si>
  <si>
    <t>Labor Category</t>
  </si>
  <si>
    <t>Crew</t>
  </si>
  <si>
    <t>Retired</t>
  </si>
  <si>
    <t>Working</t>
  </si>
  <si>
    <t>Command</t>
  </si>
  <si>
    <t>Education</t>
  </si>
  <si>
    <t>Maternity</t>
  </si>
  <si>
    <t>Non-Working</t>
  </si>
  <si>
    <t>Assume 1 teacher per 12 children, starting at age 4</t>
  </si>
  <si>
    <t>Inn/Taverns/Restaurants</t>
  </si>
  <si>
    <t>Ship Systems</t>
  </si>
  <si>
    <t>Robotics + Agriculture</t>
  </si>
  <si>
    <t>Human Services Categories</t>
  </si>
  <si>
    <t>Assuming 3 doctors and 3 nurses on rotation 24/7, with 2 trainees</t>
  </si>
  <si>
    <t>Student</t>
  </si>
  <si>
    <t>Assuming 40% of children will go on to 4 years of advanced training</t>
  </si>
  <si>
    <t>Trainee / Generalist</t>
  </si>
  <si>
    <t>Plant Operator</t>
  </si>
  <si>
    <t>Technicians / Electricians</t>
  </si>
  <si>
    <t>Repair + Fabrication</t>
  </si>
  <si>
    <t>Assuming this count also includes individuals engaged in domestic manufactur</t>
  </si>
  <si>
    <t>Weighted Allocation</t>
  </si>
  <si>
    <t>Figures for trades estimated from medieval towns/cities</t>
  </si>
  <si>
    <t>Government</t>
  </si>
  <si>
    <t>Picked a plausible number from: https://www.governing.com/gov-data/public-workforce-salaries/states-most-government-workers-public-employees-by-job-type.html</t>
  </si>
  <si>
    <t>Assune at least a mayor</t>
  </si>
  <si>
    <t>Officers</t>
  </si>
  <si>
    <t>Scientists</t>
  </si>
  <si>
    <t>Plant Safety</t>
  </si>
  <si>
    <t>FOG</t>
  </si>
  <si>
    <t>Science + Development</t>
  </si>
  <si>
    <t>Mortality</t>
  </si>
  <si>
    <t>Replacement</t>
  </si>
  <si>
    <t>Spare Parts Estimate</t>
  </si>
  <si>
    <t>Births per F</t>
  </si>
  <si>
    <t>Maintenance Schedule Robotics</t>
  </si>
  <si>
    <t>Mobile Units</t>
  </si>
  <si>
    <t>Manufacturing Units</t>
  </si>
  <si>
    <t>Design Life</t>
  </si>
  <si>
    <t>Recycle</t>
  </si>
  <si>
    <t>Maintenance</t>
  </si>
  <si>
    <t>Tractors</t>
  </si>
  <si>
    <t>http://www.waterandenergyprogress.org/library/05006.pdf</t>
  </si>
  <si>
    <t>Shred Stalks</t>
  </si>
  <si>
    <t>Plow 8 inches deep</t>
  </si>
  <si>
    <t>Field Cultivate</t>
  </si>
  <si>
    <t>Harrow</t>
  </si>
  <si>
    <t>Cultivate Row Crops</t>
  </si>
  <si>
    <t>Plant Row Crops</t>
  </si>
  <si>
    <t>No-till planter</t>
  </si>
  <si>
    <t>Grain Drill</t>
  </si>
  <si>
    <t>Combine - Grain</t>
  </si>
  <si>
    <t>Combine - corn/sorghum</t>
  </si>
  <si>
    <t>Corn Picker</t>
  </si>
  <si>
    <t>Baler</t>
  </si>
  <si>
    <t>Rotary Mower</t>
  </si>
  <si>
    <t>Forage Harvester - green</t>
  </si>
  <si>
    <t>Forage Harvester - hay</t>
  </si>
  <si>
    <t>Forage Harvester - corm</t>
  </si>
  <si>
    <t>Forage blower - green</t>
  </si>
  <si>
    <t>Forage blower - hay</t>
  </si>
  <si>
    <t>Forage blower - corn</t>
  </si>
  <si>
    <t>Grain Drying</t>
  </si>
  <si>
    <t>Estimate Number of Tractors needed</t>
  </si>
  <si>
    <t>Task</t>
  </si>
  <si>
    <t>PTO hp/hr/acre</t>
  </si>
  <si>
    <t>Hectares</t>
  </si>
  <si>
    <t>Tractor Hours</t>
  </si>
  <si>
    <t>acre</t>
  </si>
  <si>
    <t>mile^2</t>
  </si>
  <si>
    <t>ft^2</t>
  </si>
  <si>
    <t>Constants</t>
  </si>
  <si>
    <t>Human Population (peak)</t>
  </si>
  <si>
    <t>PTO HP-hour/acre</t>
  </si>
  <si>
    <t>PTO HP-hour</t>
  </si>
  <si>
    <t>Food Processing Units</t>
  </si>
  <si>
    <t>Work Hours</t>
  </si>
  <si>
    <t>Utilization</t>
  </si>
  <si>
    <t>Labor Hours - Repair</t>
  </si>
  <si>
    <t>Labor Hours - Operation</t>
  </si>
  <si>
    <t>Operation Unit (Hr)</t>
  </si>
  <si>
    <t>Operation All (hr)</t>
  </si>
  <si>
    <t>Repair Unit (hr)</t>
  </si>
  <si>
    <t>Repair all (hr)</t>
  </si>
  <si>
    <t>Man Hrs</t>
  </si>
  <si>
    <t>Robotic Operators</t>
  </si>
  <si>
    <t>Recreation Area:</t>
  </si>
  <si>
    <t>Land Usage</t>
  </si>
  <si>
    <t>Budget</t>
  </si>
  <si>
    <t>Implemented</t>
  </si>
  <si>
    <t>Cargo Area</t>
  </si>
  <si>
    <t>Name</t>
  </si>
  <si>
    <t>Settlement</t>
  </si>
  <si>
    <t>Park</t>
  </si>
  <si>
    <t>HOUSING</t>
  </si>
  <si>
    <t>Housing - Single</t>
  </si>
  <si>
    <t>Housing - Family</t>
  </si>
  <si>
    <t>Budget %</t>
  </si>
  <si>
    <t>Acres/Capita</t>
  </si>
  <si>
    <t>Industry</t>
  </si>
  <si>
    <t>Grade Level Size</t>
  </si>
  <si>
    <t>Artist/Musician</t>
  </si>
  <si>
    <t>https://www.arts.gov/sites/default/files/ArtistsInWorkforce.pdf</t>
  </si>
  <si>
    <t>Domes</t>
  </si>
  <si>
    <t>Usage:</t>
  </si>
  <si>
    <t>Food Storage</t>
  </si>
  <si>
    <t>Store the equivilent of 7 years of food</t>
  </si>
  <si>
    <t>Volume / Dome</t>
  </si>
  <si>
    <t>Horsepower to KW</t>
  </si>
  <si>
    <t>KW to Horsepower</t>
  </si>
  <si>
    <t>Cultivation energy / hectare</t>
  </si>
  <si>
    <t>Yearly Power Consuption</t>
  </si>
  <si>
    <t>Days in year</t>
  </si>
  <si>
    <t>Niave</t>
  </si>
  <si>
    <t>Exact</t>
  </si>
  <si>
    <t>5 mw data center</t>
  </si>
  <si>
    <t>Image Scale (carrier)</t>
  </si>
  <si>
    <t>Image Scale (field)</t>
  </si>
  <si>
    <t>Life Exp</t>
  </si>
  <si>
    <t>Widest Deck</t>
  </si>
  <si>
    <t>Widest</t>
  </si>
  <si>
    <t>Hab Levels</t>
  </si>
  <si>
    <t>Note: Some decks do not have area that adds up to 100% to represent thru-deck features</t>
  </si>
  <si>
    <t>Machinery</t>
  </si>
  <si>
    <t>Total Levels</t>
  </si>
  <si>
    <t>Dome Radius est</t>
  </si>
  <si>
    <t>Potential Mate Rate</t>
  </si>
  <si>
    <t>Age</t>
  </si>
  <si>
    <t>male</t>
  </si>
  <si>
    <t>femal</t>
  </si>
  <si>
    <t>female</t>
  </si>
  <si>
    <t>Fertility Rate</t>
  </si>
  <si>
    <t>Low</t>
  </si>
  <si>
    <t>High</t>
  </si>
  <si>
    <t>Max</t>
  </si>
  <si>
    <t>avg</t>
  </si>
  <si>
    <t>Marriage</t>
  </si>
  <si>
    <t>Housing</t>
  </si>
  <si>
    <t>http://www.no1ledlight.com/lux-standard-for-indoor-lighting/</t>
  </si>
  <si>
    <t>https://homeguides.sfgate.com/problem-using-grow-lights-greenhouses-51087.html</t>
  </si>
  <si>
    <t>Illumination Hours</t>
  </si>
  <si>
    <t>kwh /day</t>
  </si>
  <si>
    <t>Peak Wattage</t>
  </si>
  <si>
    <t>watt</t>
  </si>
  <si>
    <t>Lighting</t>
  </si>
  <si>
    <t>Peak Power Load</t>
  </si>
  <si>
    <t>Daily Power Consumption</t>
  </si>
  <si>
    <t>kwh/day -&gt; watt</t>
  </si>
  <si>
    <t>khw/day</t>
  </si>
  <si>
    <t>kwH/day</t>
  </si>
  <si>
    <t>kwh/day</t>
  </si>
  <si>
    <t>Ship Calendar</t>
  </si>
  <si>
    <t>Some fuel stores are offset by tritium and he3 production in the cosmic ray shield</t>
  </si>
  <si>
    <t>System Mass</t>
  </si>
  <si>
    <t>Hemp</t>
  </si>
  <si>
    <t>Hectare</t>
  </si>
  <si>
    <t>(Sum of proportions)</t>
  </si>
  <si>
    <t>Male</t>
  </si>
  <si>
    <t>Female</t>
  </si>
  <si>
    <t>Marriages</t>
  </si>
  <si>
    <t>Seed Marriages</t>
  </si>
  <si>
    <t>Singles</t>
  </si>
  <si>
    <t>Marriage Rate</t>
  </si>
  <si>
    <t>Divorce Rate</t>
  </si>
  <si>
    <t>weddings</t>
  </si>
  <si>
    <t>age out</t>
  </si>
  <si>
    <t>divorce</t>
  </si>
  <si>
    <t>Seed</t>
  </si>
  <si>
    <t>single</t>
  </si>
  <si>
    <t>housing</t>
  </si>
  <si>
    <t>family</t>
  </si>
  <si>
    <t>Illumination (Peak)</t>
  </si>
  <si>
    <t>Illumination (Night)</t>
  </si>
  <si>
    <t>Manned</t>
  </si>
  <si>
    <t>Unmanned</t>
  </si>
  <si>
    <t>Outdoor</t>
  </si>
  <si>
    <t>Bringing along a self-replicating robot factory to mine remote system</t>
  </si>
  <si>
    <t>Ideal</t>
  </si>
  <si>
    <t>Magic Factor</t>
  </si>
  <si>
    <t>Labor Hours - Finished Goods/Capita</t>
  </si>
  <si>
    <t>Industrial Finished Goods</t>
  </si>
  <si>
    <t>Start Population</t>
  </si>
  <si>
    <t>PEAK</t>
  </si>
  <si>
    <t>START</t>
  </si>
  <si>
    <t>Select Profile:</t>
  </si>
  <si>
    <t>Death/100000</t>
  </si>
  <si>
    <t>Marriage %</t>
  </si>
  <si>
    <t>M:F Ratio</t>
  </si>
  <si>
    <t>F:M Ratio</t>
  </si>
  <si>
    <t>Trip Growth</t>
  </si>
  <si>
    <t>21-27</t>
  </si>
  <si>
    <t>28-34</t>
  </si>
  <si>
    <t>35-41</t>
  </si>
  <si>
    <t>42-48</t>
  </si>
  <si>
    <t>49-55</t>
  </si>
  <si>
    <t>56-62</t>
  </si>
  <si>
    <t>Elderly</t>
  </si>
  <si>
    <t>Workforce</t>
  </si>
  <si>
    <t>General</t>
  </si>
  <si>
    <t>Mission Arrival</t>
  </si>
  <si>
    <t>Return</t>
  </si>
  <si>
    <t>Reproduction Model</t>
  </si>
  <si>
    <t>Target</t>
  </si>
  <si>
    <t>balanced</t>
  </si>
  <si>
    <t>Balanced Population Level based on developed technological cultures</t>
  </si>
  <si>
    <t>island</t>
  </si>
  <si>
    <t>Based on Polynsesian colonization. Primarily unmarried people in their 20s</t>
  </si>
  <si>
    <t>growth</t>
  </si>
  <si>
    <t>Minimizes starting population - Young crew, predominately female</t>
  </si>
  <si>
    <t>Travel Time</t>
  </si>
  <si>
    <t>Population Profile</t>
  </si>
  <si>
    <t>Growth Knee</t>
  </si>
  <si>
    <t>Knee</t>
  </si>
  <si>
    <t>professional</t>
  </si>
  <si>
    <t>Crew composed of existing professionals. Middle aged crew, most married, some children, skews male</t>
  </si>
  <si>
    <t>Fuel:</t>
  </si>
  <si>
    <t>Dueterium / Lithium</t>
  </si>
  <si>
    <t>Oxygen</t>
  </si>
  <si>
    <t>Lithium Carbonate</t>
  </si>
  <si>
    <t>Carbon</t>
  </si>
  <si>
    <t>M^3</t>
  </si>
  <si>
    <t>Fuel Tank Cross Section</t>
  </si>
  <si>
    <t>Meat (kg)</t>
  </si>
  <si>
    <t>Notes: Starting population are 300 cows which will be artifically inseminated for the first few years</t>
  </si>
  <si>
    <t>Start Radius</t>
  </si>
  <si>
    <t>Spheres</t>
  </si>
  <si>
    <t>Inner Radius</t>
  </si>
  <si>
    <t>Sphere Radius</t>
  </si>
  <si>
    <t>Max Tile Size:</t>
  </si>
  <si>
    <t>Hexagon</t>
  </si>
  <si>
    <t>rad</t>
  </si>
  <si>
    <t>Util</t>
  </si>
  <si>
    <t>Tile Outer Width</t>
  </si>
  <si>
    <t>Ring</t>
  </si>
  <si>
    <t>Perimeter</t>
  </si>
  <si>
    <t>Shape</t>
  </si>
  <si>
    <t>Max D</t>
  </si>
  <si>
    <t>Tile D</t>
  </si>
  <si>
    <t>Tile Room Area</t>
  </si>
  <si>
    <t>Tiles</t>
  </si>
  <si>
    <t>Tile Area</t>
  </si>
  <si>
    <t>Forest</t>
  </si>
  <si>
    <t>Residential</t>
  </si>
  <si>
    <t>Cargo/Commercial</t>
  </si>
  <si>
    <t>Tank Radius</t>
  </si>
  <si>
    <t>Future</t>
  </si>
  <si>
    <t>Forest/Orchard:</t>
  </si>
  <si>
    <t>Housing Units Per Capita</t>
  </si>
  <si>
    <t>Park/Rec/Orchard</t>
  </si>
  <si>
    <t>Couples</t>
  </si>
  <si>
    <t>Tiles:</t>
  </si>
  <si>
    <t>Energy / Day</t>
  </si>
  <si>
    <t>kwh/meter</t>
  </si>
  <si>
    <t>Reactor Efficiency</t>
  </si>
  <si>
    <t>7 billion kwh / 3100kg fuel but assume we only get 20% of that</t>
  </si>
  <si>
    <t>Musashi Class Battleships (72000 ton)</t>
  </si>
  <si>
    <t>Musashi Class Battleship</t>
  </si>
  <si>
    <t>Hex:</t>
  </si>
  <si>
    <t>D</t>
  </si>
  <si>
    <t>r</t>
  </si>
  <si>
    <t>R</t>
  </si>
  <si>
    <t>t</t>
  </si>
  <si>
    <t>Ramp + Stair Calculations</t>
  </si>
  <si>
    <t>Ramp</t>
  </si>
  <si>
    <t>dz</t>
  </si>
  <si>
    <t>Slope</t>
  </si>
  <si>
    <t>Grade</t>
  </si>
  <si>
    <t>Logistics</t>
  </si>
  <si>
    <t>kg/J</t>
  </si>
  <si>
    <t>Fuel / J</t>
  </si>
  <si>
    <t>Joules</t>
  </si>
  <si>
    <t>V</t>
  </si>
  <si>
    <t xml:space="preserve">Lithium deuteride </t>
  </si>
  <si>
    <t>As Lithium Dueteride</t>
  </si>
  <si>
    <t>Propulsion Expellent</t>
  </si>
  <si>
    <t>Iron Oxide</t>
  </si>
  <si>
    <t>Water</t>
  </si>
  <si>
    <t>Iron</t>
  </si>
  <si>
    <t>Comet Material</t>
  </si>
  <si>
    <t>Torus</t>
  </si>
  <si>
    <t>Fuel Tank Radius</t>
  </si>
  <si>
    <t>Cross Section Area</t>
  </si>
  <si>
    <t>Long Ton</t>
  </si>
  <si>
    <t>France</t>
  </si>
  <si>
    <t>FRA</t>
  </si>
  <si>
    <t>Switzerland</t>
  </si>
  <si>
    <t>SWI</t>
  </si>
  <si>
    <t>Germany</t>
  </si>
  <si>
    <t>Haiti</t>
  </si>
  <si>
    <t>Kiribati</t>
  </si>
  <si>
    <t>CIA World Factbook, 2010</t>
  </si>
  <si>
    <t>Rank</t>
  </si>
  <si>
    <t>Relativity</t>
  </si>
  <si>
    <t>M</t>
  </si>
  <si>
    <t>F</t>
  </si>
  <si>
    <t>Pool</t>
  </si>
  <si>
    <t>Day</t>
  </si>
  <si>
    <t>Month</t>
  </si>
  <si>
    <t>Holiday</t>
  </si>
  <si>
    <t>Length</t>
  </si>
  <si>
    <t>Retniw</t>
  </si>
  <si>
    <t>January</t>
  </si>
  <si>
    <t>February</t>
  </si>
  <si>
    <t>March</t>
  </si>
  <si>
    <t>Gnirps</t>
  </si>
  <si>
    <t>April</t>
  </si>
  <si>
    <t>May</t>
  </si>
  <si>
    <t>June</t>
  </si>
  <si>
    <t>Remmus</t>
  </si>
  <si>
    <t>July</t>
  </si>
  <si>
    <t>August</t>
  </si>
  <si>
    <t>September</t>
  </si>
  <si>
    <t>Numtua</t>
  </si>
  <si>
    <t>October</t>
  </si>
  <si>
    <t>November</t>
  </si>
  <si>
    <t>December</t>
  </si>
  <si>
    <t>Births</t>
  </si>
  <si>
    <t>Total Days:</t>
  </si>
  <si>
    <t>Overall Length</t>
  </si>
  <si>
    <t>Shell Thickness</t>
  </si>
  <si>
    <t>Cylinder</t>
  </si>
  <si>
    <t>Max Radius</t>
  </si>
  <si>
    <t>Usable Area</t>
  </si>
  <si>
    <t>Immigration</t>
  </si>
  <si>
    <t>OpenFloor</t>
  </si>
  <si>
    <t>Forested Area</t>
  </si>
  <si>
    <t>forest</t>
  </si>
  <si>
    <t>Crop Height</t>
  </si>
  <si>
    <t>Lumber</t>
  </si>
  <si>
    <t>Industry (light)</t>
  </si>
  <si>
    <t>Industry (heavy)</t>
  </si>
  <si>
    <t>Industrial (light)</t>
  </si>
  <si>
    <t>Industrial (heavy)</t>
  </si>
  <si>
    <t>Forest Level</t>
  </si>
  <si>
    <t>Inddustry</t>
  </si>
  <si>
    <t>Raw Deck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</si>
</sst>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164" formatCode="0.0"/>
    <numFmt numFmtId="165" formatCode="0.0000000"/>
    <numFmt numFmtId="166" formatCode="#,##0.0"/>
    <numFmt numFmtId="167" formatCode="0.00000E+00"/>
    <numFmt numFmtId="168" formatCode="0.0%"/>
    <numFmt numFmtId="169" formatCode="0.00000"/>
    <numFmt numFmtId="170" formatCode="0.0000"/>
    <numFmt numFmtId="171" formatCode="0.000"/>
    <numFmt numFmtId="172" formatCode="0.000E+00"/>
    <numFmt numFmtId="173" formatCode="0.0000000000"/>
    <numFmt numFmtId="174" formatCode="0.0000%"/>
    <numFmt numFmtId="178" formatCode="0.000%"/>
  </numFmts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333333"/>
      <name val="Times New Roman"/>
      <family val="1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Arial"/>
      <family val="2"/>
    </font>
    <font>
      <sz val="14"/>
      <color rgb="FF222222"/>
      <name val="Arial"/>
      <family val="2"/>
    </font>
    <font>
      <sz val="10"/>
      <color rgb="FF000000"/>
      <name val="Arial Unicode MS"/>
      <family val="2"/>
    </font>
    <font>
      <sz val="14"/>
      <color rgb="FF000099"/>
      <name val="-webkit-standard"/>
    </font>
    <font>
      <sz val="13"/>
      <color rgb="FF333333"/>
      <name val="Arial"/>
      <family val="2"/>
    </font>
    <font>
      <sz val="11"/>
      <color rgb="FF4D4D4D"/>
      <name val="Arial"/>
      <family val="2"/>
    </font>
    <font>
      <b/>
      <sz val="12"/>
      <color theme="1"/>
      <name val="Calibri"/>
      <family val="2"/>
      <scheme val="minor"/>
    </font>
    <font>
      <sz val="13"/>
      <color rgb="FF000000"/>
      <name val="Georgia"/>
      <family val="1"/>
    </font>
    <font>
      <sz val="13"/>
      <color rgb="FF666666"/>
      <name val="Arial"/>
      <family val="2"/>
    </font>
    <font>
      <i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sz val="11"/>
      <color rgb="FF666666"/>
      <name val="Geneva"/>
      <family val="2"/>
    </font>
    <font>
      <sz val="11"/>
      <color rgb="FF70707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3F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/>
    <xf numFmtId="2" fontId="0" fillId="0" borderId="0" xfId="0" applyNumberFormat="1"/>
    <xf numFmtId="164" fontId="0" fillId="0" borderId="0" xfId="0" applyNumberFormat="1"/>
    <xf numFmtId="1" fontId="0" fillId="2" borderId="0" xfId="0" applyNumberFormat="1" applyFill="1"/>
    <xf numFmtId="0" fontId="0" fillId="0" borderId="0" xfId="0" applyFill="1"/>
    <xf numFmtId="0" fontId="0" fillId="4" borderId="0" xfId="0" applyFill="1"/>
    <xf numFmtId="0" fontId="0" fillId="4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165" fontId="0" fillId="0" borderId="0" xfId="0" applyNumberFormat="1"/>
    <xf numFmtId="2" fontId="0" fillId="0" borderId="0" xfId="0" applyNumberFormat="1" applyFill="1"/>
    <xf numFmtId="164" fontId="0" fillId="5" borderId="0" xfId="0" applyNumberFormat="1" applyFill="1"/>
    <xf numFmtId="164" fontId="0" fillId="6" borderId="0" xfId="0" applyNumberFormat="1" applyFill="1"/>
    <xf numFmtId="164" fontId="0" fillId="0" borderId="0" xfId="0" applyNumberFormat="1" applyFill="1"/>
    <xf numFmtId="0" fontId="0" fillId="3" borderId="0" xfId="0" applyFill="1"/>
    <xf numFmtId="164" fontId="0" fillId="3" borderId="0" xfId="0" applyNumberFormat="1" applyFill="1"/>
    <xf numFmtId="164" fontId="0" fillId="7" borderId="0" xfId="0" applyNumberFormat="1" applyFill="1"/>
    <xf numFmtId="0" fontId="0" fillId="0" borderId="0" xfId="0" applyAlignment="1"/>
    <xf numFmtId="166" fontId="2" fillId="0" borderId="0" xfId="0" applyNumberFormat="1" applyFont="1"/>
    <xf numFmtId="167" fontId="0" fillId="0" borderId="0" xfId="0" applyNumberFormat="1"/>
    <xf numFmtId="0" fontId="0" fillId="0" borderId="0" xfId="0" applyNumberFormat="1"/>
    <xf numFmtId="0" fontId="3" fillId="0" borderId="0" xfId="2"/>
    <xf numFmtId="168" fontId="0" fillId="0" borderId="0" xfId="1" applyNumberFormat="1" applyFont="1"/>
    <xf numFmtId="0" fontId="0" fillId="0" borderId="0" xfId="0" applyAlignment="1">
      <alignment horizontal="center"/>
    </xf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4" fillId="6" borderId="4" xfId="0" applyFont="1" applyFill="1" applyBorder="1"/>
    <xf numFmtId="0" fontId="4" fillId="6" borderId="5" xfId="0" applyFont="1" applyFill="1" applyBorder="1"/>
    <xf numFmtId="0" fontId="4" fillId="6" borderId="6" xfId="0" applyFont="1" applyFill="1" applyBorder="1"/>
    <xf numFmtId="0" fontId="0" fillId="8" borderId="1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9" fontId="0" fillId="0" borderId="0" xfId="1" applyFont="1"/>
    <xf numFmtId="0" fontId="5" fillId="0" borderId="0" xfId="0" applyFon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11" fontId="0" fillId="3" borderId="0" xfId="0" applyNumberFormat="1" applyFill="1"/>
    <xf numFmtId="0" fontId="0" fillId="0" borderId="0" xfId="0" applyFont="1"/>
    <xf numFmtId="11" fontId="0" fillId="9" borderId="0" xfId="0" applyNumberFormat="1" applyFill="1"/>
    <xf numFmtId="0" fontId="0" fillId="10" borderId="0" xfId="0" applyFill="1"/>
    <xf numFmtId="11" fontId="0" fillId="10" borderId="0" xfId="0" applyNumberFormat="1" applyFill="1"/>
    <xf numFmtId="11" fontId="0" fillId="6" borderId="0" xfId="0" applyNumberFormat="1" applyFill="1"/>
    <xf numFmtId="11" fontId="4" fillId="0" borderId="0" xfId="0" applyNumberFormat="1" applyFont="1"/>
    <xf numFmtId="164" fontId="0" fillId="9" borderId="0" xfId="0" applyNumberFormat="1" applyFill="1"/>
    <xf numFmtId="11" fontId="0" fillId="0" borderId="0" xfId="0" applyNumberFormat="1" applyFill="1"/>
    <xf numFmtId="1" fontId="0" fillId="0" borderId="0" xfId="0" applyNumberFormat="1"/>
    <xf numFmtId="0" fontId="0" fillId="9" borderId="0" xfId="0" applyFill="1"/>
    <xf numFmtId="2" fontId="0" fillId="0" borderId="0" xfId="0" applyNumberFormat="1" applyAlignment="1">
      <alignment horizontal="center"/>
    </xf>
    <xf numFmtId="2" fontId="0" fillId="7" borderId="0" xfId="0" applyNumberFormat="1" applyFill="1"/>
    <xf numFmtId="172" fontId="0" fillId="11" borderId="0" xfId="0" applyNumberFormat="1" applyFill="1"/>
    <xf numFmtId="172" fontId="0" fillId="9" borderId="0" xfId="0" applyNumberFormat="1" applyFill="1"/>
    <xf numFmtId="0" fontId="7" fillId="0" borderId="0" xfId="0" applyFont="1"/>
    <xf numFmtId="0" fontId="0" fillId="12" borderId="0" xfId="0" applyFill="1"/>
    <xf numFmtId="3" fontId="0" fillId="0" borderId="0" xfId="0" applyNumberFormat="1"/>
    <xf numFmtId="1" fontId="0" fillId="0" borderId="0" xfId="0" applyNumberFormat="1" applyFill="1"/>
    <xf numFmtId="2" fontId="0" fillId="9" borderId="0" xfId="0" applyNumberFormat="1" applyFill="1"/>
    <xf numFmtId="11" fontId="0" fillId="0" borderId="0" xfId="1" applyNumberFormat="1" applyFont="1"/>
    <xf numFmtId="0" fontId="8" fillId="0" borderId="0" xfId="0" applyFont="1"/>
    <xf numFmtId="3" fontId="8" fillId="0" borderId="0" xfId="0" applyNumberFormat="1" applyFont="1"/>
    <xf numFmtId="2" fontId="0" fillId="0" borderId="0" xfId="1" applyNumberFormat="1" applyFont="1"/>
    <xf numFmtId="0" fontId="9" fillId="0" borderId="0" xfId="0" applyFont="1"/>
    <xf numFmtId="0" fontId="4" fillId="0" borderId="0" xfId="0" applyFont="1"/>
    <xf numFmtId="11" fontId="0" fillId="0" borderId="0" xfId="0" applyNumberFormat="1" applyAlignment="1"/>
    <xf numFmtId="173" fontId="0" fillId="0" borderId="0" xfId="0" applyNumberFormat="1"/>
    <xf numFmtId="0" fontId="10" fillId="0" borderId="0" xfId="0" applyFont="1"/>
    <xf numFmtId="44" fontId="0" fillId="0" borderId="0" xfId="3" applyFont="1"/>
    <xf numFmtId="0" fontId="0" fillId="0" borderId="0" xfId="0" applyAlignment="1">
      <alignment horizontal="center"/>
    </xf>
    <xf numFmtId="174" fontId="0" fillId="0" borderId="0" xfId="1" applyNumberFormat="1" applyFont="1"/>
    <xf numFmtId="0" fontId="0" fillId="0" borderId="0" xfId="0" applyAlignment="1">
      <alignment horizontal="center"/>
    </xf>
    <xf numFmtId="0" fontId="12" fillId="0" borderId="0" xfId="0" applyFont="1"/>
    <xf numFmtId="171" fontId="7" fillId="0" borderId="0" xfId="0" applyNumberFormat="1" applyFont="1"/>
    <xf numFmtId="2" fontId="7" fillId="0" borderId="0" xfId="0" applyNumberFormat="1" applyFont="1"/>
    <xf numFmtId="164" fontId="7" fillId="0" borderId="0" xfId="0" applyNumberFormat="1" applyFont="1"/>
    <xf numFmtId="11" fontId="7" fillId="0" borderId="0" xfId="0" applyNumberFormat="1" applyFont="1"/>
    <xf numFmtId="0" fontId="11" fillId="0" borderId="0" xfId="0" applyFont="1"/>
    <xf numFmtId="0" fontId="0" fillId="9" borderId="0" xfId="0" applyFont="1" applyFill="1"/>
    <xf numFmtId="0" fontId="0" fillId="8" borderId="0" xfId="0" applyFill="1" applyBorder="1"/>
    <xf numFmtId="0" fontId="0" fillId="8" borderId="4" xfId="0" applyFill="1" applyBorder="1"/>
    <xf numFmtId="0" fontId="0" fillId="8" borderId="5" xfId="0" applyFill="1" applyBorder="1"/>
    <xf numFmtId="11" fontId="0" fillId="8" borderId="0" xfId="0" applyNumberFormat="1" applyFill="1"/>
    <xf numFmtId="2" fontId="0" fillId="8" borderId="0" xfId="0" applyNumberFormat="1" applyFill="1"/>
    <xf numFmtId="164" fontId="0" fillId="8" borderId="0" xfId="0" applyNumberFormat="1" applyFill="1"/>
    <xf numFmtId="3" fontId="0" fillId="0" borderId="0" xfId="0" applyNumberFormat="1" applyFont="1"/>
    <xf numFmtId="10" fontId="0" fillId="0" borderId="0" xfId="0" applyNumberFormat="1"/>
    <xf numFmtId="0" fontId="13" fillId="0" borderId="0" xfId="0" applyFont="1"/>
    <xf numFmtId="0" fontId="0" fillId="0" borderId="0" xfId="0" applyBorder="1"/>
    <xf numFmtId="2" fontId="0" fillId="10" borderId="0" xfId="0" applyNumberFormat="1" applyFill="1"/>
    <xf numFmtId="0" fontId="14" fillId="0" borderId="0" xfId="0" applyFont="1"/>
    <xf numFmtId="0" fontId="15" fillId="0" borderId="0" xfId="0" applyFont="1"/>
    <xf numFmtId="2" fontId="0" fillId="0" borderId="0" xfId="1" applyNumberFormat="1" applyFont="1" applyFill="1"/>
    <xf numFmtId="1" fontId="0" fillId="2" borderId="0" xfId="0" applyNumberFormat="1" applyFill="1" applyAlignment="1"/>
    <xf numFmtId="0" fontId="0" fillId="13" borderId="0" xfId="0" applyFill="1"/>
    <xf numFmtId="2" fontId="0" fillId="13" borderId="0" xfId="0" applyNumberFormat="1" applyFill="1"/>
    <xf numFmtId="164" fontId="0" fillId="13" borderId="0" xfId="0" applyNumberFormat="1" applyFill="1"/>
    <xf numFmtId="11" fontId="6" fillId="0" borderId="0" xfId="0" applyNumberFormat="1" applyFont="1"/>
    <xf numFmtId="0" fontId="0" fillId="0" borderId="1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1" fontId="0" fillId="0" borderId="8" xfId="0" applyNumberFormat="1" applyBorder="1"/>
    <xf numFmtId="0" fontId="0" fillId="14" borderId="0" xfId="0" applyFill="1"/>
    <xf numFmtId="0" fontId="0" fillId="7" borderId="1" xfId="0" applyFill="1" applyBorder="1"/>
    <xf numFmtId="2" fontId="0" fillId="7" borderId="2" xfId="0" applyNumberFormat="1" applyFill="1" applyBorder="1"/>
    <xf numFmtId="0" fontId="0" fillId="7" borderId="2" xfId="0" applyFill="1" applyBorder="1"/>
    <xf numFmtId="164" fontId="0" fillId="7" borderId="2" xfId="0" applyNumberFormat="1" applyFill="1" applyBorder="1"/>
    <xf numFmtId="0" fontId="0" fillId="7" borderId="3" xfId="0" applyFill="1" applyBorder="1"/>
    <xf numFmtId="0" fontId="0" fillId="7" borderId="8" xfId="0" applyFill="1" applyBorder="1"/>
    <xf numFmtId="2" fontId="0" fillId="7" borderId="0" xfId="0" applyNumberFormat="1" applyFill="1" applyBorder="1"/>
    <xf numFmtId="164" fontId="0" fillId="7" borderId="0" xfId="0" applyNumberFormat="1" applyFill="1" applyBorder="1"/>
    <xf numFmtId="1" fontId="0" fillId="7" borderId="0" xfId="0" applyNumberFormat="1" applyFill="1" applyBorder="1"/>
    <xf numFmtId="0" fontId="0" fillId="7" borderId="9" xfId="0" applyFill="1" applyBorder="1"/>
    <xf numFmtId="0" fontId="0" fillId="7" borderId="0" xfId="0" applyFill="1" applyBorder="1"/>
    <xf numFmtId="164" fontId="0" fillId="7" borderId="9" xfId="0" applyNumberFormat="1" applyFill="1" applyBorder="1"/>
    <xf numFmtId="0" fontId="0" fillId="7" borderId="4" xfId="0" applyFill="1" applyBorder="1"/>
    <xf numFmtId="0" fontId="0" fillId="7" borderId="5" xfId="0" applyFill="1" applyBorder="1"/>
    <xf numFmtId="0" fontId="0" fillId="7" borderId="6" xfId="0" applyFill="1" applyBorder="1"/>
    <xf numFmtId="2" fontId="0" fillId="0" borderId="0" xfId="0" applyNumberFormat="1" applyBorder="1"/>
    <xf numFmtId="0" fontId="0" fillId="7" borderId="7" xfId="0" applyFill="1" applyBorder="1"/>
    <xf numFmtId="0" fontId="0" fillId="15" borderId="7" xfId="0" applyFill="1" applyBorder="1"/>
    <xf numFmtId="2" fontId="0" fillId="15" borderId="7" xfId="0" applyNumberFormat="1" applyFill="1" applyBorder="1"/>
    <xf numFmtId="0" fontId="0" fillId="7" borderId="10" xfId="0" applyFill="1" applyBorder="1"/>
    <xf numFmtId="0" fontId="0" fillId="0" borderId="0" xfId="0" applyFill="1" applyBorder="1"/>
    <xf numFmtId="11" fontId="5" fillId="0" borderId="0" xfId="0" applyNumberFormat="1" applyFont="1"/>
    <xf numFmtId="0" fontId="0" fillId="7" borderId="0" xfId="0" applyFill="1"/>
    <xf numFmtId="178" fontId="0" fillId="0" borderId="0" xfId="1" applyNumberFormat="1" applyFont="1"/>
    <xf numFmtId="0" fontId="16" fillId="0" borderId="0" xfId="0" applyFont="1"/>
    <xf numFmtId="0" fontId="17" fillId="0" borderId="0" xfId="0" applyFont="1"/>
    <xf numFmtId="0" fontId="0" fillId="0" borderId="0" xfId="0" applyAlignment="1">
      <alignment horizontal="center"/>
    </xf>
    <xf numFmtId="10" fontId="0" fillId="0" borderId="0" xfId="1" applyNumberFormat="1" applyFont="1"/>
    <xf numFmtId="168" fontId="0" fillId="0" borderId="0" xfId="0" applyNumberFormat="1"/>
    <xf numFmtId="1" fontId="0" fillId="2" borderId="0" xfId="0" applyNumberFormat="1" applyFill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4">
    <cellStyle name="Currency" xfId="3" builtinId="4"/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3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Population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'Population Model'!$B$1</c:f>
              <c:strCache>
                <c:ptCount val="1"/>
                <c:pt idx="0">
                  <c:v>Population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'Population Model'!$A$2:$A$115</c:f>
              <c:numCache>
                <c:formatCode>General</c:formatCode>
                <c:ptCount val="114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</c:v>
                </c:pt>
                <c:pt idx="102">
                  <c:v>101</c:v>
                </c:pt>
                <c:pt idx="103">
                  <c:v>102</c:v>
                </c:pt>
                <c:pt idx="104">
                  <c:v>103</c:v>
                </c:pt>
                <c:pt idx="105">
                  <c:v>104</c:v>
                </c:pt>
                <c:pt idx="106">
                  <c:v>105</c:v>
                </c:pt>
                <c:pt idx="107">
                  <c:v>106</c:v>
                </c:pt>
                <c:pt idx="108">
                  <c:v>107</c:v>
                </c:pt>
                <c:pt idx="109">
                  <c:v>108</c:v>
                </c:pt>
                <c:pt idx="110">
                  <c:v>109</c:v>
                </c:pt>
                <c:pt idx="111">
                  <c:v>110</c:v>
                </c:pt>
                <c:pt idx="112">
                  <c:v>111</c:v>
                </c:pt>
                <c:pt idx="113">
                  <c:v>112</c:v>
                </c:pt>
              </c:numCache>
            </c:numRef>
          </c:xVal>
          <c:yVal>
            <c:numRef>
              <c:f>'Population Model'!$B$2:$B$115</c:f>
              <c:numCache>
                <c:formatCode>0.00</c:formatCode>
                <c:ptCount val="114"/>
                <c:pt idx="0">
                  <c:v>500</c:v>
                </c:pt>
                <c:pt idx="1">
                  <c:v>541</c:v>
                </c:pt>
                <c:pt idx="2">
                  <c:v>582</c:v>
                </c:pt>
                <c:pt idx="3">
                  <c:v>624</c:v>
                </c:pt>
                <c:pt idx="4">
                  <c:v>665</c:v>
                </c:pt>
                <c:pt idx="5">
                  <c:v>706</c:v>
                </c:pt>
                <c:pt idx="6">
                  <c:v>747</c:v>
                </c:pt>
                <c:pt idx="7">
                  <c:v>788</c:v>
                </c:pt>
                <c:pt idx="8">
                  <c:v>828</c:v>
                </c:pt>
                <c:pt idx="9">
                  <c:v>869</c:v>
                </c:pt>
                <c:pt idx="10">
                  <c:v>909</c:v>
                </c:pt>
                <c:pt idx="11">
                  <c:v>950</c:v>
                </c:pt>
                <c:pt idx="12">
                  <c:v>990</c:v>
                </c:pt>
                <c:pt idx="13">
                  <c:v>1030</c:v>
                </c:pt>
                <c:pt idx="14">
                  <c:v>1070</c:v>
                </c:pt>
                <c:pt idx="15">
                  <c:v>1109</c:v>
                </c:pt>
                <c:pt idx="16">
                  <c:v>1148</c:v>
                </c:pt>
                <c:pt idx="17">
                  <c:v>1187</c:v>
                </c:pt>
                <c:pt idx="18">
                  <c:v>1226</c:v>
                </c:pt>
                <c:pt idx="19">
                  <c:v>1265</c:v>
                </c:pt>
                <c:pt idx="20">
                  <c:v>1303</c:v>
                </c:pt>
                <c:pt idx="21">
                  <c:v>1341</c:v>
                </c:pt>
                <c:pt idx="22">
                  <c:v>1378</c:v>
                </c:pt>
                <c:pt idx="23">
                  <c:v>1415</c:v>
                </c:pt>
                <c:pt idx="24">
                  <c:v>1452</c:v>
                </c:pt>
                <c:pt idx="25">
                  <c:v>1489</c:v>
                </c:pt>
                <c:pt idx="26">
                  <c:v>1525</c:v>
                </c:pt>
                <c:pt idx="27">
                  <c:v>1541</c:v>
                </c:pt>
                <c:pt idx="28">
                  <c:v>1558</c:v>
                </c:pt>
                <c:pt idx="29">
                  <c:v>1573</c:v>
                </c:pt>
                <c:pt idx="30">
                  <c:v>1589</c:v>
                </c:pt>
                <c:pt idx="31">
                  <c:v>1604</c:v>
                </c:pt>
                <c:pt idx="32">
                  <c:v>1618</c:v>
                </c:pt>
                <c:pt idx="33">
                  <c:v>1632</c:v>
                </c:pt>
                <c:pt idx="34">
                  <c:v>1646</c:v>
                </c:pt>
                <c:pt idx="35">
                  <c:v>1659</c:v>
                </c:pt>
                <c:pt idx="36">
                  <c:v>1672</c:v>
                </c:pt>
                <c:pt idx="37">
                  <c:v>1684</c:v>
                </c:pt>
                <c:pt idx="38">
                  <c:v>1696</c:v>
                </c:pt>
                <c:pt idx="39">
                  <c:v>1707</c:v>
                </c:pt>
                <c:pt idx="40">
                  <c:v>1718</c:v>
                </c:pt>
                <c:pt idx="41">
                  <c:v>1728</c:v>
                </c:pt>
                <c:pt idx="42">
                  <c:v>1738</c:v>
                </c:pt>
                <c:pt idx="43">
                  <c:v>1748</c:v>
                </c:pt>
                <c:pt idx="44">
                  <c:v>1757</c:v>
                </c:pt>
                <c:pt idx="45">
                  <c:v>1766</c:v>
                </c:pt>
                <c:pt idx="46">
                  <c:v>1775</c:v>
                </c:pt>
                <c:pt idx="47">
                  <c:v>1783</c:v>
                </c:pt>
                <c:pt idx="48">
                  <c:v>1790</c:v>
                </c:pt>
                <c:pt idx="49">
                  <c:v>1798</c:v>
                </c:pt>
                <c:pt idx="50">
                  <c:v>1805</c:v>
                </c:pt>
                <c:pt idx="51">
                  <c:v>1812</c:v>
                </c:pt>
                <c:pt idx="52">
                  <c:v>1818</c:v>
                </c:pt>
                <c:pt idx="53">
                  <c:v>1825</c:v>
                </c:pt>
                <c:pt idx="54">
                  <c:v>1830</c:v>
                </c:pt>
                <c:pt idx="55">
                  <c:v>1836</c:v>
                </c:pt>
                <c:pt idx="56">
                  <c:v>1842</c:v>
                </c:pt>
                <c:pt idx="57">
                  <c:v>1847</c:v>
                </c:pt>
                <c:pt idx="58">
                  <c:v>1852</c:v>
                </c:pt>
                <c:pt idx="59">
                  <c:v>1856</c:v>
                </c:pt>
                <c:pt idx="60">
                  <c:v>1861</c:v>
                </c:pt>
                <c:pt idx="61">
                  <c:v>1865</c:v>
                </c:pt>
                <c:pt idx="62">
                  <c:v>1870</c:v>
                </c:pt>
                <c:pt idx="63">
                  <c:v>1874</c:v>
                </c:pt>
                <c:pt idx="64">
                  <c:v>1877</c:v>
                </c:pt>
                <c:pt idx="65">
                  <c:v>1881</c:v>
                </c:pt>
                <c:pt idx="66">
                  <c:v>1885</c:v>
                </c:pt>
                <c:pt idx="67">
                  <c:v>1888</c:v>
                </c:pt>
                <c:pt idx="68">
                  <c:v>1891</c:v>
                </c:pt>
                <c:pt idx="69">
                  <c:v>1894</c:v>
                </c:pt>
                <c:pt idx="70">
                  <c:v>1897</c:v>
                </c:pt>
                <c:pt idx="71">
                  <c:v>1900</c:v>
                </c:pt>
                <c:pt idx="72">
                  <c:v>1903</c:v>
                </c:pt>
                <c:pt idx="73">
                  <c:v>1906</c:v>
                </c:pt>
                <c:pt idx="74">
                  <c:v>1909</c:v>
                </c:pt>
                <c:pt idx="75">
                  <c:v>1911</c:v>
                </c:pt>
                <c:pt idx="76">
                  <c:v>1913</c:v>
                </c:pt>
                <c:pt idx="77">
                  <c:v>1916</c:v>
                </c:pt>
                <c:pt idx="78">
                  <c:v>1918</c:v>
                </c:pt>
                <c:pt idx="79">
                  <c:v>1920</c:v>
                </c:pt>
                <c:pt idx="80">
                  <c:v>1922</c:v>
                </c:pt>
                <c:pt idx="81">
                  <c:v>1924</c:v>
                </c:pt>
                <c:pt idx="82">
                  <c:v>1926</c:v>
                </c:pt>
                <c:pt idx="83">
                  <c:v>1928</c:v>
                </c:pt>
                <c:pt idx="84">
                  <c:v>1930</c:v>
                </c:pt>
                <c:pt idx="85">
                  <c:v>1932</c:v>
                </c:pt>
                <c:pt idx="86">
                  <c:v>1934</c:v>
                </c:pt>
                <c:pt idx="87">
                  <c:v>1935</c:v>
                </c:pt>
                <c:pt idx="88">
                  <c:v>1937</c:v>
                </c:pt>
                <c:pt idx="89">
                  <c:v>1939</c:v>
                </c:pt>
                <c:pt idx="90">
                  <c:v>1940</c:v>
                </c:pt>
                <c:pt idx="91">
                  <c:v>1942</c:v>
                </c:pt>
                <c:pt idx="92">
                  <c:v>1943</c:v>
                </c:pt>
                <c:pt idx="93">
                  <c:v>1944</c:v>
                </c:pt>
                <c:pt idx="94">
                  <c:v>1946</c:v>
                </c:pt>
                <c:pt idx="95">
                  <c:v>1947</c:v>
                </c:pt>
                <c:pt idx="96">
                  <c:v>1948</c:v>
                </c:pt>
                <c:pt idx="97">
                  <c:v>1949</c:v>
                </c:pt>
                <c:pt idx="98">
                  <c:v>1951</c:v>
                </c:pt>
                <c:pt idx="99">
                  <c:v>1952</c:v>
                </c:pt>
                <c:pt idx="100">
                  <c:v>1953</c:v>
                </c:pt>
                <c:pt idx="101">
                  <c:v>1954</c:v>
                </c:pt>
                <c:pt idx="102">
                  <c:v>1955</c:v>
                </c:pt>
                <c:pt idx="103">
                  <c:v>1956</c:v>
                </c:pt>
                <c:pt idx="104">
                  <c:v>1957</c:v>
                </c:pt>
                <c:pt idx="105">
                  <c:v>1958</c:v>
                </c:pt>
                <c:pt idx="106">
                  <c:v>1958</c:v>
                </c:pt>
                <c:pt idx="107">
                  <c:v>1959</c:v>
                </c:pt>
                <c:pt idx="108">
                  <c:v>1960</c:v>
                </c:pt>
                <c:pt idx="109">
                  <c:v>1961</c:v>
                </c:pt>
                <c:pt idx="110">
                  <c:v>1962</c:v>
                </c:pt>
                <c:pt idx="111">
                  <c:v>1962</c:v>
                </c:pt>
                <c:pt idx="112">
                  <c:v>1963</c:v>
                </c:pt>
                <c:pt idx="113">
                  <c:v>1964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73-CF45-AA45-B4158FAEAE02}"/>
            </c:ext>
          </c:extLst>
        </c:ser>
        <c:ser>
          <c:idx val="1"/>
          <c:order val="1"/>
          <c:tx>
            <c:strRef>
              <c:f>'Population Model'!$C$1</c:f>
              <c:strCache>
                <c:ptCount val="1"/>
                <c:pt idx="0">
                  <c:v>Workforce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'Population Model'!$A$2:$A$115</c:f>
              <c:numCache>
                <c:formatCode>General</c:formatCode>
                <c:ptCount val="114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</c:v>
                </c:pt>
                <c:pt idx="102">
                  <c:v>101</c:v>
                </c:pt>
                <c:pt idx="103">
                  <c:v>102</c:v>
                </c:pt>
                <c:pt idx="104">
                  <c:v>103</c:v>
                </c:pt>
                <c:pt idx="105">
                  <c:v>104</c:v>
                </c:pt>
                <c:pt idx="106">
                  <c:v>105</c:v>
                </c:pt>
                <c:pt idx="107">
                  <c:v>106</c:v>
                </c:pt>
                <c:pt idx="108">
                  <c:v>107</c:v>
                </c:pt>
                <c:pt idx="109">
                  <c:v>108</c:v>
                </c:pt>
                <c:pt idx="110">
                  <c:v>109</c:v>
                </c:pt>
                <c:pt idx="111">
                  <c:v>110</c:v>
                </c:pt>
                <c:pt idx="112">
                  <c:v>111</c:v>
                </c:pt>
                <c:pt idx="113">
                  <c:v>112</c:v>
                </c:pt>
              </c:numCache>
            </c:numRef>
          </c:xVal>
          <c:yVal>
            <c:numRef>
              <c:f>'Population Model'!$C$2:$C$115</c:f>
              <c:numCache>
                <c:formatCode>0</c:formatCode>
                <c:ptCount val="114"/>
                <c:pt idx="1">
                  <c:v>402</c:v>
                </c:pt>
                <c:pt idx="2">
                  <c:v>395</c:v>
                </c:pt>
                <c:pt idx="3">
                  <c:v>410</c:v>
                </c:pt>
                <c:pt idx="4">
                  <c:v>427</c:v>
                </c:pt>
                <c:pt idx="5">
                  <c:v>442</c:v>
                </c:pt>
                <c:pt idx="6">
                  <c:v>457</c:v>
                </c:pt>
                <c:pt idx="7">
                  <c:v>473</c:v>
                </c:pt>
                <c:pt idx="8">
                  <c:v>488</c:v>
                </c:pt>
                <c:pt idx="9">
                  <c:v>503</c:v>
                </c:pt>
                <c:pt idx="10">
                  <c:v>519</c:v>
                </c:pt>
                <c:pt idx="11">
                  <c:v>535</c:v>
                </c:pt>
                <c:pt idx="12">
                  <c:v>550</c:v>
                </c:pt>
                <c:pt idx="13">
                  <c:v>565</c:v>
                </c:pt>
                <c:pt idx="14">
                  <c:v>580</c:v>
                </c:pt>
                <c:pt idx="15">
                  <c:v>595</c:v>
                </c:pt>
                <c:pt idx="16">
                  <c:v>609</c:v>
                </c:pt>
                <c:pt idx="17">
                  <c:v>624</c:v>
                </c:pt>
                <c:pt idx="18">
                  <c:v>640</c:v>
                </c:pt>
                <c:pt idx="19">
                  <c:v>654</c:v>
                </c:pt>
                <c:pt idx="20">
                  <c:v>670</c:v>
                </c:pt>
                <c:pt idx="21">
                  <c:v>684</c:v>
                </c:pt>
                <c:pt idx="22">
                  <c:v>698</c:v>
                </c:pt>
                <c:pt idx="23">
                  <c:v>713</c:v>
                </c:pt>
                <c:pt idx="24">
                  <c:v>727</c:v>
                </c:pt>
                <c:pt idx="25">
                  <c:v>743</c:v>
                </c:pt>
                <c:pt idx="26">
                  <c:v>757</c:v>
                </c:pt>
                <c:pt idx="27">
                  <c:v>755</c:v>
                </c:pt>
                <c:pt idx="28">
                  <c:v>755</c:v>
                </c:pt>
                <c:pt idx="29">
                  <c:v>753</c:v>
                </c:pt>
                <c:pt idx="30">
                  <c:v>752</c:v>
                </c:pt>
                <c:pt idx="31">
                  <c:v>751</c:v>
                </c:pt>
                <c:pt idx="32">
                  <c:v>749</c:v>
                </c:pt>
                <c:pt idx="33">
                  <c:v>748</c:v>
                </c:pt>
                <c:pt idx="34">
                  <c:v>747</c:v>
                </c:pt>
                <c:pt idx="35">
                  <c:v>746</c:v>
                </c:pt>
                <c:pt idx="36">
                  <c:v>746</c:v>
                </c:pt>
                <c:pt idx="37">
                  <c:v>744</c:v>
                </c:pt>
                <c:pt idx="38">
                  <c:v>744</c:v>
                </c:pt>
                <c:pt idx="39">
                  <c:v>742</c:v>
                </c:pt>
                <c:pt idx="40">
                  <c:v>742</c:v>
                </c:pt>
                <c:pt idx="41">
                  <c:v>741</c:v>
                </c:pt>
                <c:pt idx="42">
                  <c:v>741</c:v>
                </c:pt>
                <c:pt idx="43">
                  <c:v>741</c:v>
                </c:pt>
                <c:pt idx="44">
                  <c:v>740</c:v>
                </c:pt>
                <c:pt idx="45">
                  <c:v>741</c:v>
                </c:pt>
                <c:pt idx="46">
                  <c:v>742</c:v>
                </c:pt>
                <c:pt idx="47">
                  <c:v>741</c:v>
                </c:pt>
                <c:pt idx="48">
                  <c:v>741</c:v>
                </c:pt>
                <c:pt idx="49">
                  <c:v>742</c:v>
                </c:pt>
                <c:pt idx="50">
                  <c:v>742</c:v>
                </c:pt>
                <c:pt idx="51">
                  <c:v>743</c:v>
                </c:pt>
                <c:pt idx="52">
                  <c:v>743</c:v>
                </c:pt>
                <c:pt idx="53">
                  <c:v>745</c:v>
                </c:pt>
                <c:pt idx="54">
                  <c:v>745</c:v>
                </c:pt>
                <c:pt idx="55">
                  <c:v>746</c:v>
                </c:pt>
                <c:pt idx="56">
                  <c:v>746</c:v>
                </c:pt>
                <c:pt idx="57">
                  <c:v>747</c:v>
                </c:pt>
                <c:pt idx="58">
                  <c:v>748</c:v>
                </c:pt>
                <c:pt idx="59">
                  <c:v>748</c:v>
                </c:pt>
                <c:pt idx="60">
                  <c:v>750</c:v>
                </c:pt>
                <c:pt idx="61">
                  <c:v>750</c:v>
                </c:pt>
                <c:pt idx="62">
                  <c:v>752</c:v>
                </c:pt>
                <c:pt idx="63">
                  <c:v>753</c:v>
                </c:pt>
                <c:pt idx="64">
                  <c:v>753</c:v>
                </c:pt>
                <c:pt idx="65">
                  <c:v>755</c:v>
                </c:pt>
                <c:pt idx="66">
                  <c:v>756</c:v>
                </c:pt>
                <c:pt idx="67">
                  <c:v>756</c:v>
                </c:pt>
                <c:pt idx="68">
                  <c:v>757</c:v>
                </c:pt>
                <c:pt idx="69">
                  <c:v>758</c:v>
                </c:pt>
                <c:pt idx="70">
                  <c:v>758</c:v>
                </c:pt>
                <c:pt idx="71">
                  <c:v>759</c:v>
                </c:pt>
                <c:pt idx="72">
                  <c:v>760</c:v>
                </c:pt>
                <c:pt idx="73">
                  <c:v>761</c:v>
                </c:pt>
                <c:pt idx="74">
                  <c:v>762</c:v>
                </c:pt>
                <c:pt idx="75">
                  <c:v>763</c:v>
                </c:pt>
                <c:pt idx="76">
                  <c:v>763</c:v>
                </c:pt>
                <c:pt idx="77">
                  <c:v>764</c:v>
                </c:pt>
                <c:pt idx="78">
                  <c:v>764</c:v>
                </c:pt>
                <c:pt idx="79">
                  <c:v>765</c:v>
                </c:pt>
                <c:pt idx="80">
                  <c:v>765</c:v>
                </c:pt>
                <c:pt idx="81">
                  <c:v>766</c:v>
                </c:pt>
                <c:pt idx="82">
                  <c:v>766</c:v>
                </c:pt>
                <c:pt idx="83">
                  <c:v>767</c:v>
                </c:pt>
                <c:pt idx="84">
                  <c:v>767</c:v>
                </c:pt>
                <c:pt idx="85">
                  <c:v>768</c:v>
                </c:pt>
                <c:pt idx="86">
                  <c:v>767</c:v>
                </c:pt>
                <c:pt idx="87">
                  <c:v>767</c:v>
                </c:pt>
                <c:pt idx="88">
                  <c:v>768</c:v>
                </c:pt>
                <c:pt idx="89">
                  <c:v>769</c:v>
                </c:pt>
                <c:pt idx="90">
                  <c:v>768</c:v>
                </c:pt>
                <c:pt idx="91">
                  <c:v>769</c:v>
                </c:pt>
                <c:pt idx="92">
                  <c:v>769</c:v>
                </c:pt>
                <c:pt idx="93">
                  <c:v>769</c:v>
                </c:pt>
                <c:pt idx="94">
                  <c:v>770</c:v>
                </c:pt>
                <c:pt idx="95">
                  <c:v>770</c:v>
                </c:pt>
                <c:pt idx="96">
                  <c:v>770</c:v>
                </c:pt>
                <c:pt idx="97">
                  <c:v>770</c:v>
                </c:pt>
                <c:pt idx="98">
                  <c:v>771</c:v>
                </c:pt>
                <c:pt idx="99">
                  <c:v>771</c:v>
                </c:pt>
                <c:pt idx="100">
                  <c:v>771</c:v>
                </c:pt>
                <c:pt idx="101">
                  <c:v>771</c:v>
                </c:pt>
                <c:pt idx="102">
                  <c:v>771</c:v>
                </c:pt>
                <c:pt idx="103">
                  <c:v>771</c:v>
                </c:pt>
                <c:pt idx="104">
                  <c:v>771</c:v>
                </c:pt>
                <c:pt idx="105">
                  <c:v>771</c:v>
                </c:pt>
                <c:pt idx="106">
                  <c:v>771</c:v>
                </c:pt>
                <c:pt idx="107">
                  <c:v>771</c:v>
                </c:pt>
                <c:pt idx="108">
                  <c:v>771</c:v>
                </c:pt>
                <c:pt idx="109">
                  <c:v>771</c:v>
                </c:pt>
                <c:pt idx="110">
                  <c:v>772</c:v>
                </c:pt>
                <c:pt idx="111">
                  <c:v>771</c:v>
                </c:pt>
                <c:pt idx="112">
                  <c:v>771</c:v>
                </c:pt>
                <c:pt idx="113">
                  <c:v>772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273-CF45-AA45-B4158FAEA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299135"/>
        <c:axId val="267287823"/>
      </c:scatterChart>
      <c:valAx>
        <c:axId val="2672991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287823"/>
        <c:crosses val="autoZero"/>
        <c:crossBetween val="midCat"/>
      </c:valAx>
      <c:valAx>
        <c:axId val="267287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2991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Dietary Content by Life Expectancy</a:t>
            </a:r>
            <a:r>
              <a:rPr lang="en-US" baseline="0"/>
              <a:t> (Highest Left)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35483671959316E-2"/>
          <c:y val="7.4065318092251239E-2"/>
          <c:w val="0.94734197004823684"/>
          <c:h val="0.80678489719896795"/>
        </c:manualLayout>
      </c:layout>
      <c:lineChart>
        <c:grouping val="standard"/>
        <c:varyColors val="0"/>
        <c:ser>
          <c:idx val="0"/>
          <c:order val="0"/>
          <c:tx>
            <c:strRef>
              <c:f>Diet!$H$8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Diet!$G$9:$G$26</c:f>
              <c:strCache>
                <c:ptCount val="18"/>
                <c:pt idx="0">
                  <c:v>Japan</c:v>
                </c:pt>
                <c:pt idx="1">
                  <c:v>Australia</c:v>
                </c:pt>
                <c:pt idx="2">
                  <c:v>Canada</c:v>
                </c:pt>
                <c:pt idx="3">
                  <c:v>France</c:v>
                </c:pt>
                <c:pt idx="4">
                  <c:v>Switzerland</c:v>
                </c:pt>
                <c:pt idx="5">
                  <c:v>Iceland</c:v>
                </c:pt>
                <c:pt idx="6">
                  <c:v>Ireland</c:v>
                </c:pt>
                <c:pt idx="7">
                  <c:v>United Kingdom</c:v>
                </c:pt>
                <c:pt idx="8">
                  <c:v>Germany</c:v>
                </c:pt>
                <c:pt idx="9">
                  <c:v>South Korea</c:v>
                </c:pt>
                <c:pt idx="10">
                  <c:v>United States</c:v>
                </c:pt>
                <c:pt idx="11">
                  <c:v>China</c:v>
                </c:pt>
                <c:pt idx="12">
                  <c:v>Saudi Arabia</c:v>
                </c:pt>
                <c:pt idx="13">
                  <c:v>India</c:v>
                </c:pt>
                <c:pt idx="14">
                  <c:v>Russia</c:v>
                </c:pt>
                <c:pt idx="15">
                  <c:v>Kiribati</c:v>
                </c:pt>
                <c:pt idx="16">
                  <c:v>Haiti</c:v>
                </c:pt>
                <c:pt idx="17">
                  <c:v>Chad</c:v>
                </c:pt>
              </c:strCache>
            </c:strRef>
          </c:cat>
          <c:val>
            <c:numRef>
              <c:f>Diet!$H$9:$H$26</c:f>
              <c:numCache>
                <c:formatCode>General</c:formatCode>
                <c:ptCount val="18"/>
                <c:pt idx="0">
                  <c:v>48</c:v>
                </c:pt>
                <c:pt idx="1">
                  <c:v>63</c:v>
                </c:pt>
                <c:pt idx="2">
                  <c:v>42</c:v>
                </c:pt>
                <c:pt idx="3">
                  <c:v>57</c:v>
                </c:pt>
                <c:pt idx="4">
                  <c:v>35</c:v>
                </c:pt>
                <c:pt idx="5">
                  <c:v>115</c:v>
                </c:pt>
                <c:pt idx="6">
                  <c:v>70</c:v>
                </c:pt>
                <c:pt idx="7">
                  <c:v>73</c:v>
                </c:pt>
                <c:pt idx="8">
                  <c:v>41</c:v>
                </c:pt>
                <c:pt idx="9">
                  <c:v>42</c:v>
                </c:pt>
                <c:pt idx="10">
                  <c:v>32</c:v>
                </c:pt>
                <c:pt idx="11">
                  <c:v>28</c:v>
                </c:pt>
                <c:pt idx="12">
                  <c:v>100</c:v>
                </c:pt>
                <c:pt idx="13">
                  <c:v>22</c:v>
                </c:pt>
                <c:pt idx="14">
                  <c:v>41</c:v>
                </c:pt>
                <c:pt idx="15">
                  <c:v>14</c:v>
                </c:pt>
                <c:pt idx="16">
                  <c:v>9</c:v>
                </c:pt>
                <c:pt idx="17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0B-9B42-BCEA-08E680647757}"/>
            </c:ext>
          </c:extLst>
        </c:ser>
        <c:ser>
          <c:idx val="1"/>
          <c:order val="1"/>
          <c:tx>
            <c:strRef>
              <c:f>Diet!$I$8</c:f>
              <c:strCache>
                <c:ptCount val="1"/>
                <c:pt idx="0">
                  <c:v>Sugar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Diet!$G$9:$G$26</c:f>
              <c:strCache>
                <c:ptCount val="18"/>
                <c:pt idx="0">
                  <c:v>Japan</c:v>
                </c:pt>
                <c:pt idx="1">
                  <c:v>Australia</c:v>
                </c:pt>
                <c:pt idx="2">
                  <c:v>Canada</c:v>
                </c:pt>
                <c:pt idx="3">
                  <c:v>France</c:v>
                </c:pt>
                <c:pt idx="4">
                  <c:v>Switzerland</c:v>
                </c:pt>
                <c:pt idx="5">
                  <c:v>Iceland</c:v>
                </c:pt>
                <c:pt idx="6">
                  <c:v>Ireland</c:v>
                </c:pt>
                <c:pt idx="7">
                  <c:v>United Kingdom</c:v>
                </c:pt>
                <c:pt idx="8">
                  <c:v>Germany</c:v>
                </c:pt>
                <c:pt idx="9">
                  <c:v>South Korea</c:v>
                </c:pt>
                <c:pt idx="10">
                  <c:v>United States</c:v>
                </c:pt>
                <c:pt idx="11">
                  <c:v>China</c:v>
                </c:pt>
                <c:pt idx="12">
                  <c:v>Saudi Arabia</c:v>
                </c:pt>
                <c:pt idx="13">
                  <c:v>India</c:v>
                </c:pt>
                <c:pt idx="14">
                  <c:v>Russia</c:v>
                </c:pt>
                <c:pt idx="15">
                  <c:v>Kiribati</c:v>
                </c:pt>
                <c:pt idx="16">
                  <c:v>Haiti</c:v>
                </c:pt>
                <c:pt idx="17">
                  <c:v>Chad</c:v>
                </c:pt>
              </c:strCache>
            </c:strRef>
          </c:cat>
          <c:val>
            <c:numRef>
              <c:f>Diet!$I$9:$I$26</c:f>
              <c:numCache>
                <c:formatCode>General</c:formatCode>
                <c:ptCount val="18"/>
                <c:pt idx="0">
                  <c:v>237</c:v>
                </c:pt>
                <c:pt idx="1">
                  <c:v>393</c:v>
                </c:pt>
                <c:pt idx="2">
                  <c:v>416</c:v>
                </c:pt>
                <c:pt idx="3">
                  <c:v>358</c:v>
                </c:pt>
                <c:pt idx="4">
                  <c:v>567</c:v>
                </c:pt>
                <c:pt idx="5">
                  <c:v>442</c:v>
                </c:pt>
                <c:pt idx="6">
                  <c:v>358</c:v>
                </c:pt>
                <c:pt idx="7">
                  <c:v>351</c:v>
                </c:pt>
                <c:pt idx="8">
                  <c:v>485</c:v>
                </c:pt>
                <c:pt idx="9">
                  <c:v>344</c:v>
                </c:pt>
                <c:pt idx="10">
                  <c:v>570</c:v>
                </c:pt>
                <c:pt idx="11">
                  <c:v>68</c:v>
                </c:pt>
                <c:pt idx="12">
                  <c:v>321</c:v>
                </c:pt>
                <c:pt idx="13">
                  <c:v>220</c:v>
                </c:pt>
                <c:pt idx="14">
                  <c:v>425</c:v>
                </c:pt>
                <c:pt idx="15">
                  <c:v>454</c:v>
                </c:pt>
                <c:pt idx="16">
                  <c:v>176</c:v>
                </c:pt>
                <c:pt idx="17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0B-9B42-BCEA-08E680647757}"/>
            </c:ext>
          </c:extLst>
        </c:ser>
        <c:ser>
          <c:idx val="2"/>
          <c:order val="2"/>
          <c:tx>
            <c:strRef>
              <c:f>Diet!$J$8</c:f>
              <c:strCache>
                <c:ptCount val="1"/>
                <c:pt idx="0">
                  <c:v>Oils &amp; Fats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Diet!$G$9:$G$26</c:f>
              <c:strCache>
                <c:ptCount val="18"/>
                <c:pt idx="0">
                  <c:v>Japan</c:v>
                </c:pt>
                <c:pt idx="1">
                  <c:v>Australia</c:v>
                </c:pt>
                <c:pt idx="2">
                  <c:v>Canada</c:v>
                </c:pt>
                <c:pt idx="3">
                  <c:v>France</c:v>
                </c:pt>
                <c:pt idx="4">
                  <c:v>Switzerland</c:v>
                </c:pt>
                <c:pt idx="5">
                  <c:v>Iceland</c:v>
                </c:pt>
                <c:pt idx="6">
                  <c:v>Ireland</c:v>
                </c:pt>
                <c:pt idx="7">
                  <c:v>United Kingdom</c:v>
                </c:pt>
                <c:pt idx="8">
                  <c:v>Germany</c:v>
                </c:pt>
                <c:pt idx="9">
                  <c:v>South Korea</c:v>
                </c:pt>
                <c:pt idx="10">
                  <c:v>United States</c:v>
                </c:pt>
                <c:pt idx="11">
                  <c:v>China</c:v>
                </c:pt>
                <c:pt idx="12">
                  <c:v>Saudi Arabia</c:v>
                </c:pt>
                <c:pt idx="13">
                  <c:v>India</c:v>
                </c:pt>
                <c:pt idx="14">
                  <c:v>Russia</c:v>
                </c:pt>
                <c:pt idx="15">
                  <c:v>Kiribati</c:v>
                </c:pt>
                <c:pt idx="16">
                  <c:v>Haiti</c:v>
                </c:pt>
                <c:pt idx="17">
                  <c:v>Chad</c:v>
                </c:pt>
              </c:strCache>
            </c:strRef>
          </c:cat>
          <c:val>
            <c:numRef>
              <c:f>Diet!$J$9:$J$26</c:f>
              <c:numCache>
                <c:formatCode>General</c:formatCode>
                <c:ptCount val="18"/>
                <c:pt idx="0">
                  <c:v>521</c:v>
                </c:pt>
                <c:pt idx="1">
                  <c:v>762</c:v>
                </c:pt>
                <c:pt idx="2">
                  <c:v>917</c:v>
                </c:pt>
                <c:pt idx="3">
                  <c:v>776</c:v>
                </c:pt>
                <c:pt idx="4">
                  <c:v>728</c:v>
                </c:pt>
                <c:pt idx="5">
                  <c:v>445</c:v>
                </c:pt>
                <c:pt idx="6">
                  <c:v>605</c:v>
                </c:pt>
                <c:pt idx="7">
                  <c:v>642</c:v>
                </c:pt>
                <c:pt idx="8">
                  <c:v>795</c:v>
                </c:pt>
                <c:pt idx="9">
                  <c:v>621</c:v>
                </c:pt>
                <c:pt idx="10">
                  <c:v>870</c:v>
                </c:pt>
                <c:pt idx="11">
                  <c:v>338</c:v>
                </c:pt>
                <c:pt idx="12">
                  <c:v>471</c:v>
                </c:pt>
                <c:pt idx="13">
                  <c:v>325</c:v>
                </c:pt>
                <c:pt idx="14">
                  <c:v>441</c:v>
                </c:pt>
                <c:pt idx="15">
                  <c:v>776</c:v>
                </c:pt>
                <c:pt idx="16">
                  <c:v>282</c:v>
                </c:pt>
                <c:pt idx="17">
                  <c:v>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0B-9B42-BCEA-08E680647757}"/>
            </c:ext>
          </c:extLst>
        </c:ser>
        <c:ser>
          <c:idx val="3"/>
          <c:order val="3"/>
          <c:tx>
            <c:strRef>
              <c:f>Diet!$K$8</c:f>
              <c:strCache>
                <c:ptCount val="1"/>
                <c:pt idx="0">
                  <c:v>Meat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Diet!$G$9:$G$26</c:f>
              <c:strCache>
                <c:ptCount val="18"/>
                <c:pt idx="0">
                  <c:v>Japan</c:v>
                </c:pt>
                <c:pt idx="1">
                  <c:v>Australia</c:v>
                </c:pt>
                <c:pt idx="2">
                  <c:v>Canada</c:v>
                </c:pt>
                <c:pt idx="3">
                  <c:v>France</c:v>
                </c:pt>
                <c:pt idx="4">
                  <c:v>Switzerland</c:v>
                </c:pt>
                <c:pt idx="5">
                  <c:v>Iceland</c:v>
                </c:pt>
                <c:pt idx="6">
                  <c:v>Ireland</c:v>
                </c:pt>
                <c:pt idx="7">
                  <c:v>United Kingdom</c:v>
                </c:pt>
                <c:pt idx="8">
                  <c:v>Germany</c:v>
                </c:pt>
                <c:pt idx="9">
                  <c:v>South Korea</c:v>
                </c:pt>
                <c:pt idx="10">
                  <c:v>United States</c:v>
                </c:pt>
                <c:pt idx="11">
                  <c:v>China</c:v>
                </c:pt>
                <c:pt idx="12">
                  <c:v>Saudi Arabia</c:v>
                </c:pt>
                <c:pt idx="13">
                  <c:v>India</c:v>
                </c:pt>
                <c:pt idx="14">
                  <c:v>Russia</c:v>
                </c:pt>
                <c:pt idx="15">
                  <c:v>Kiribati</c:v>
                </c:pt>
                <c:pt idx="16">
                  <c:v>Haiti</c:v>
                </c:pt>
                <c:pt idx="17">
                  <c:v>Chad</c:v>
                </c:pt>
              </c:strCache>
            </c:strRef>
          </c:cat>
          <c:val>
            <c:numRef>
              <c:f>Diet!$K$9:$K$26</c:f>
              <c:numCache>
                <c:formatCode>General</c:formatCode>
                <c:ptCount val="18"/>
                <c:pt idx="0">
                  <c:v>320</c:v>
                </c:pt>
                <c:pt idx="1">
                  <c:v>496</c:v>
                </c:pt>
                <c:pt idx="2">
                  <c:v>390</c:v>
                </c:pt>
                <c:pt idx="3">
                  <c:v>552</c:v>
                </c:pt>
                <c:pt idx="4">
                  <c:v>502</c:v>
                </c:pt>
                <c:pt idx="5">
                  <c:v>668</c:v>
                </c:pt>
                <c:pt idx="6">
                  <c:v>410</c:v>
                </c:pt>
                <c:pt idx="7">
                  <c:v>483</c:v>
                </c:pt>
                <c:pt idx="8">
                  <c:v>404</c:v>
                </c:pt>
                <c:pt idx="9">
                  <c:v>364</c:v>
                </c:pt>
                <c:pt idx="10">
                  <c:v>469</c:v>
                </c:pt>
                <c:pt idx="11">
                  <c:v>501</c:v>
                </c:pt>
                <c:pt idx="12">
                  <c:v>256</c:v>
                </c:pt>
                <c:pt idx="13">
                  <c:v>28</c:v>
                </c:pt>
                <c:pt idx="14">
                  <c:v>338</c:v>
                </c:pt>
                <c:pt idx="15">
                  <c:v>291</c:v>
                </c:pt>
                <c:pt idx="16">
                  <c:v>88</c:v>
                </c:pt>
                <c:pt idx="17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0B-9B42-BCEA-08E680647757}"/>
            </c:ext>
          </c:extLst>
        </c:ser>
        <c:ser>
          <c:idx val="4"/>
          <c:order val="4"/>
          <c:tx>
            <c:strRef>
              <c:f>Diet!$L$8</c:f>
              <c:strCache>
                <c:ptCount val="1"/>
                <c:pt idx="0">
                  <c:v>Dairy &amp; Eggs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Diet!$G$9:$G$26</c:f>
              <c:strCache>
                <c:ptCount val="18"/>
                <c:pt idx="0">
                  <c:v>Japan</c:v>
                </c:pt>
                <c:pt idx="1">
                  <c:v>Australia</c:v>
                </c:pt>
                <c:pt idx="2">
                  <c:v>Canada</c:v>
                </c:pt>
                <c:pt idx="3">
                  <c:v>France</c:v>
                </c:pt>
                <c:pt idx="4">
                  <c:v>Switzerland</c:v>
                </c:pt>
                <c:pt idx="5">
                  <c:v>Iceland</c:v>
                </c:pt>
                <c:pt idx="6">
                  <c:v>Ireland</c:v>
                </c:pt>
                <c:pt idx="7">
                  <c:v>United Kingdom</c:v>
                </c:pt>
                <c:pt idx="8">
                  <c:v>Germany</c:v>
                </c:pt>
                <c:pt idx="9">
                  <c:v>South Korea</c:v>
                </c:pt>
                <c:pt idx="10">
                  <c:v>United States</c:v>
                </c:pt>
                <c:pt idx="11">
                  <c:v>China</c:v>
                </c:pt>
                <c:pt idx="12">
                  <c:v>Saudi Arabia</c:v>
                </c:pt>
                <c:pt idx="13">
                  <c:v>India</c:v>
                </c:pt>
                <c:pt idx="14">
                  <c:v>Russia</c:v>
                </c:pt>
                <c:pt idx="15">
                  <c:v>Kiribati</c:v>
                </c:pt>
                <c:pt idx="16">
                  <c:v>Haiti</c:v>
                </c:pt>
                <c:pt idx="17">
                  <c:v>Chad</c:v>
                </c:pt>
              </c:strCache>
            </c:strRef>
          </c:cat>
          <c:val>
            <c:numRef>
              <c:f>Diet!$L$9:$L$26</c:f>
              <c:numCache>
                <c:formatCode>General</c:formatCode>
                <c:ptCount val="18"/>
                <c:pt idx="0">
                  <c:v>190</c:v>
                </c:pt>
                <c:pt idx="1">
                  <c:v>350</c:v>
                </c:pt>
                <c:pt idx="2">
                  <c:v>259</c:v>
                </c:pt>
                <c:pt idx="3">
                  <c:v>390</c:v>
                </c:pt>
                <c:pt idx="4">
                  <c:v>445</c:v>
                </c:pt>
                <c:pt idx="5">
                  <c:v>591</c:v>
                </c:pt>
                <c:pt idx="6">
                  <c:v>402</c:v>
                </c:pt>
                <c:pt idx="7">
                  <c:v>388</c:v>
                </c:pt>
                <c:pt idx="8">
                  <c:v>380</c:v>
                </c:pt>
                <c:pt idx="9">
                  <c:v>77</c:v>
                </c:pt>
                <c:pt idx="10">
                  <c:v>425</c:v>
                </c:pt>
                <c:pt idx="11">
                  <c:v>130</c:v>
                </c:pt>
                <c:pt idx="12">
                  <c:v>161</c:v>
                </c:pt>
                <c:pt idx="13">
                  <c:v>131</c:v>
                </c:pt>
                <c:pt idx="14">
                  <c:v>345</c:v>
                </c:pt>
                <c:pt idx="15">
                  <c:v>37</c:v>
                </c:pt>
                <c:pt idx="16">
                  <c:v>46</c:v>
                </c:pt>
                <c:pt idx="17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50B-9B42-BCEA-08E680647757}"/>
            </c:ext>
          </c:extLst>
        </c:ser>
        <c:ser>
          <c:idx val="5"/>
          <c:order val="5"/>
          <c:tx>
            <c:strRef>
              <c:f>Diet!$M$8</c:f>
              <c:strCache>
                <c:ptCount val="1"/>
                <c:pt idx="0">
                  <c:v>Fruits &amp; Vegetables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Diet!$G$9:$G$26</c:f>
              <c:strCache>
                <c:ptCount val="18"/>
                <c:pt idx="0">
                  <c:v>Japan</c:v>
                </c:pt>
                <c:pt idx="1">
                  <c:v>Australia</c:v>
                </c:pt>
                <c:pt idx="2">
                  <c:v>Canada</c:v>
                </c:pt>
                <c:pt idx="3">
                  <c:v>France</c:v>
                </c:pt>
                <c:pt idx="4">
                  <c:v>Switzerland</c:v>
                </c:pt>
                <c:pt idx="5">
                  <c:v>Iceland</c:v>
                </c:pt>
                <c:pt idx="6">
                  <c:v>Ireland</c:v>
                </c:pt>
                <c:pt idx="7">
                  <c:v>United Kingdom</c:v>
                </c:pt>
                <c:pt idx="8">
                  <c:v>Germany</c:v>
                </c:pt>
                <c:pt idx="9">
                  <c:v>South Korea</c:v>
                </c:pt>
                <c:pt idx="10">
                  <c:v>United States</c:v>
                </c:pt>
                <c:pt idx="11">
                  <c:v>China</c:v>
                </c:pt>
                <c:pt idx="12">
                  <c:v>Saudi Arabia</c:v>
                </c:pt>
                <c:pt idx="13">
                  <c:v>India</c:v>
                </c:pt>
                <c:pt idx="14">
                  <c:v>Russia</c:v>
                </c:pt>
                <c:pt idx="15">
                  <c:v>Kiribati</c:v>
                </c:pt>
                <c:pt idx="16">
                  <c:v>Haiti</c:v>
                </c:pt>
                <c:pt idx="17">
                  <c:v>Chad</c:v>
                </c:pt>
              </c:strCache>
            </c:strRef>
          </c:cat>
          <c:val>
            <c:numRef>
              <c:f>Diet!$M$9:$M$26</c:f>
              <c:numCache>
                <c:formatCode>General</c:formatCode>
                <c:ptCount val="18"/>
                <c:pt idx="0">
                  <c:v>119</c:v>
                </c:pt>
                <c:pt idx="1">
                  <c:v>185</c:v>
                </c:pt>
                <c:pt idx="2">
                  <c:v>211</c:v>
                </c:pt>
                <c:pt idx="3">
                  <c:v>175</c:v>
                </c:pt>
                <c:pt idx="4">
                  <c:v>191</c:v>
                </c:pt>
                <c:pt idx="5">
                  <c:v>179</c:v>
                </c:pt>
                <c:pt idx="6">
                  <c:v>190</c:v>
                </c:pt>
                <c:pt idx="7">
                  <c:v>197</c:v>
                </c:pt>
                <c:pt idx="8">
                  <c:v>165</c:v>
                </c:pt>
                <c:pt idx="9">
                  <c:v>236</c:v>
                </c:pt>
                <c:pt idx="10">
                  <c:v>181</c:v>
                </c:pt>
                <c:pt idx="11">
                  <c:v>306</c:v>
                </c:pt>
                <c:pt idx="12">
                  <c:v>269</c:v>
                </c:pt>
                <c:pt idx="13">
                  <c:v>119</c:v>
                </c:pt>
                <c:pt idx="14">
                  <c:v>150</c:v>
                </c:pt>
                <c:pt idx="15">
                  <c:v>147</c:v>
                </c:pt>
                <c:pt idx="16">
                  <c:v>112</c:v>
                </c:pt>
                <c:pt idx="17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50B-9B42-BCEA-08E680647757}"/>
            </c:ext>
          </c:extLst>
        </c:ser>
        <c:ser>
          <c:idx val="6"/>
          <c:order val="6"/>
          <c:tx>
            <c:strRef>
              <c:f>Diet!$N$8</c:f>
              <c:strCache>
                <c:ptCount val="1"/>
                <c:pt idx="0">
                  <c:v>Starchy Roots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Diet!$G$9:$G$26</c:f>
              <c:strCache>
                <c:ptCount val="18"/>
                <c:pt idx="0">
                  <c:v>Japan</c:v>
                </c:pt>
                <c:pt idx="1">
                  <c:v>Australia</c:v>
                </c:pt>
                <c:pt idx="2">
                  <c:v>Canada</c:v>
                </c:pt>
                <c:pt idx="3">
                  <c:v>France</c:v>
                </c:pt>
                <c:pt idx="4">
                  <c:v>Switzerland</c:v>
                </c:pt>
                <c:pt idx="5">
                  <c:v>Iceland</c:v>
                </c:pt>
                <c:pt idx="6">
                  <c:v>Ireland</c:v>
                </c:pt>
                <c:pt idx="7">
                  <c:v>United Kingdom</c:v>
                </c:pt>
                <c:pt idx="8">
                  <c:v>Germany</c:v>
                </c:pt>
                <c:pt idx="9">
                  <c:v>South Korea</c:v>
                </c:pt>
                <c:pt idx="10">
                  <c:v>United States</c:v>
                </c:pt>
                <c:pt idx="11">
                  <c:v>China</c:v>
                </c:pt>
                <c:pt idx="12">
                  <c:v>Saudi Arabia</c:v>
                </c:pt>
                <c:pt idx="13">
                  <c:v>India</c:v>
                </c:pt>
                <c:pt idx="14">
                  <c:v>Russia</c:v>
                </c:pt>
                <c:pt idx="15">
                  <c:v>Kiribati</c:v>
                </c:pt>
                <c:pt idx="16">
                  <c:v>Haiti</c:v>
                </c:pt>
                <c:pt idx="17">
                  <c:v>Chad</c:v>
                </c:pt>
              </c:strCache>
            </c:strRef>
          </c:cat>
          <c:val>
            <c:numRef>
              <c:f>Diet!$N$9:$N$26</c:f>
              <c:numCache>
                <c:formatCode>General</c:formatCode>
                <c:ptCount val="18"/>
                <c:pt idx="0">
                  <c:v>58</c:v>
                </c:pt>
                <c:pt idx="1">
                  <c:v>91</c:v>
                </c:pt>
                <c:pt idx="2">
                  <c:v>135</c:v>
                </c:pt>
                <c:pt idx="3">
                  <c:v>100</c:v>
                </c:pt>
                <c:pt idx="4">
                  <c:v>80</c:v>
                </c:pt>
                <c:pt idx="5">
                  <c:v>103</c:v>
                </c:pt>
                <c:pt idx="6">
                  <c:v>154</c:v>
                </c:pt>
                <c:pt idx="7">
                  <c:v>174</c:v>
                </c:pt>
                <c:pt idx="8">
                  <c:v>119</c:v>
                </c:pt>
                <c:pt idx="9">
                  <c:v>34</c:v>
                </c:pt>
                <c:pt idx="10">
                  <c:v>91</c:v>
                </c:pt>
                <c:pt idx="11">
                  <c:v>152</c:v>
                </c:pt>
                <c:pt idx="12">
                  <c:v>21</c:v>
                </c:pt>
                <c:pt idx="13">
                  <c:v>56</c:v>
                </c:pt>
                <c:pt idx="14">
                  <c:v>192</c:v>
                </c:pt>
                <c:pt idx="15">
                  <c:v>290</c:v>
                </c:pt>
                <c:pt idx="16">
                  <c:v>264</c:v>
                </c:pt>
                <c:pt idx="17">
                  <c:v>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50B-9B42-BCEA-08E680647757}"/>
            </c:ext>
          </c:extLst>
        </c:ser>
        <c:ser>
          <c:idx val="7"/>
          <c:order val="7"/>
          <c:tx>
            <c:strRef>
              <c:f>Diet!$O$8</c:f>
              <c:strCache>
                <c:ptCount val="1"/>
                <c:pt idx="0">
                  <c:v>Pulses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Diet!$G$9:$G$26</c:f>
              <c:strCache>
                <c:ptCount val="18"/>
                <c:pt idx="0">
                  <c:v>Japan</c:v>
                </c:pt>
                <c:pt idx="1">
                  <c:v>Australia</c:v>
                </c:pt>
                <c:pt idx="2">
                  <c:v>Canada</c:v>
                </c:pt>
                <c:pt idx="3">
                  <c:v>France</c:v>
                </c:pt>
                <c:pt idx="4">
                  <c:v>Switzerland</c:v>
                </c:pt>
                <c:pt idx="5">
                  <c:v>Iceland</c:v>
                </c:pt>
                <c:pt idx="6">
                  <c:v>Ireland</c:v>
                </c:pt>
                <c:pt idx="7">
                  <c:v>United Kingdom</c:v>
                </c:pt>
                <c:pt idx="8">
                  <c:v>Germany</c:v>
                </c:pt>
                <c:pt idx="9">
                  <c:v>South Korea</c:v>
                </c:pt>
                <c:pt idx="10">
                  <c:v>United States</c:v>
                </c:pt>
                <c:pt idx="11">
                  <c:v>China</c:v>
                </c:pt>
                <c:pt idx="12">
                  <c:v>Saudi Arabia</c:v>
                </c:pt>
                <c:pt idx="13">
                  <c:v>India</c:v>
                </c:pt>
                <c:pt idx="14">
                  <c:v>Russia</c:v>
                </c:pt>
                <c:pt idx="15">
                  <c:v>Kiribati</c:v>
                </c:pt>
                <c:pt idx="16">
                  <c:v>Haiti</c:v>
                </c:pt>
                <c:pt idx="17">
                  <c:v>Chad</c:v>
                </c:pt>
              </c:strCache>
            </c:strRef>
          </c:cat>
          <c:val>
            <c:numRef>
              <c:f>Diet!$O$9:$O$26</c:f>
              <c:numCache>
                <c:formatCode>General</c:formatCode>
                <c:ptCount val="18"/>
                <c:pt idx="0">
                  <c:v>14</c:v>
                </c:pt>
                <c:pt idx="1">
                  <c:v>11</c:v>
                </c:pt>
                <c:pt idx="2">
                  <c:v>98</c:v>
                </c:pt>
                <c:pt idx="3">
                  <c:v>17</c:v>
                </c:pt>
                <c:pt idx="4">
                  <c:v>18</c:v>
                </c:pt>
                <c:pt idx="5">
                  <c:v>8</c:v>
                </c:pt>
                <c:pt idx="6">
                  <c:v>48</c:v>
                </c:pt>
                <c:pt idx="7">
                  <c:v>28</c:v>
                </c:pt>
                <c:pt idx="8">
                  <c:v>7</c:v>
                </c:pt>
                <c:pt idx="9">
                  <c:v>13</c:v>
                </c:pt>
                <c:pt idx="10">
                  <c:v>38</c:v>
                </c:pt>
                <c:pt idx="11">
                  <c:v>11</c:v>
                </c:pt>
                <c:pt idx="12">
                  <c:v>53</c:v>
                </c:pt>
                <c:pt idx="13">
                  <c:v>127</c:v>
                </c:pt>
                <c:pt idx="14">
                  <c:v>17</c:v>
                </c:pt>
                <c:pt idx="15">
                  <c:v>0</c:v>
                </c:pt>
                <c:pt idx="16">
                  <c:v>212</c:v>
                </c:pt>
                <c:pt idx="17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50B-9B42-BCEA-08E680647757}"/>
            </c:ext>
          </c:extLst>
        </c:ser>
        <c:ser>
          <c:idx val="8"/>
          <c:order val="8"/>
          <c:tx>
            <c:strRef>
              <c:f>Diet!$P$8</c:f>
              <c:strCache>
                <c:ptCount val="1"/>
                <c:pt idx="0">
                  <c:v>Cereals &amp; Grains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Diet!$G$9:$G$26</c:f>
              <c:strCache>
                <c:ptCount val="18"/>
                <c:pt idx="0">
                  <c:v>Japan</c:v>
                </c:pt>
                <c:pt idx="1">
                  <c:v>Australia</c:v>
                </c:pt>
                <c:pt idx="2">
                  <c:v>Canada</c:v>
                </c:pt>
                <c:pt idx="3">
                  <c:v>France</c:v>
                </c:pt>
                <c:pt idx="4">
                  <c:v>Switzerland</c:v>
                </c:pt>
                <c:pt idx="5">
                  <c:v>Iceland</c:v>
                </c:pt>
                <c:pt idx="6">
                  <c:v>Ireland</c:v>
                </c:pt>
                <c:pt idx="7">
                  <c:v>United Kingdom</c:v>
                </c:pt>
                <c:pt idx="8">
                  <c:v>Germany</c:v>
                </c:pt>
                <c:pt idx="9">
                  <c:v>South Korea</c:v>
                </c:pt>
                <c:pt idx="10">
                  <c:v>United States</c:v>
                </c:pt>
                <c:pt idx="11">
                  <c:v>China</c:v>
                </c:pt>
                <c:pt idx="12">
                  <c:v>Saudi Arabia</c:v>
                </c:pt>
                <c:pt idx="13">
                  <c:v>India</c:v>
                </c:pt>
                <c:pt idx="14">
                  <c:v>Russia</c:v>
                </c:pt>
                <c:pt idx="15">
                  <c:v>Kiribati</c:v>
                </c:pt>
                <c:pt idx="16">
                  <c:v>Haiti</c:v>
                </c:pt>
                <c:pt idx="17">
                  <c:v>Chad</c:v>
                </c:pt>
              </c:strCache>
            </c:strRef>
          </c:cat>
          <c:val>
            <c:numRef>
              <c:f>Diet!$P$9:$P$26</c:f>
              <c:numCache>
                <c:formatCode>General</c:formatCode>
                <c:ptCount val="18"/>
                <c:pt idx="0">
                  <c:v>1055</c:v>
                </c:pt>
                <c:pt idx="1">
                  <c:v>732</c:v>
                </c:pt>
                <c:pt idx="2">
                  <c:v>873</c:v>
                </c:pt>
                <c:pt idx="3">
                  <c:v>972</c:v>
                </c:pt>
                <c:pt idx="4">
                  <c:v>707</c:v>
                </c:pt>
                <c:pt idx="5">
                  <c:v>667</c:v>
                </c:pt>
                <c:pt idx="6">
                  <c:v>1068</c:v>
                </c:pt>
                <c:pt idx="7">
                  <c:v>906</c:v>
                </c:pt>
                <c:pt idx="8">
                  <c:v>876</c:v>
                </c:pt>
                <c:pt idx="9">
                  <c:v>1414</c:v>
                </c:pt>
                <c:pt idx="10">
                  <c:v>807</c:v>
                </c:pt>
                <c:pt idx="11">
                  <c:v>1420</c:v>
                </c:pt>
                <c:pt idx="12">
                  <c:v>1472</c:v>
                </c:pt>
                <c:pt idx="13">
                  <c:v>1404</c:v>
                </c:pt>
                <c:pt idx="14">
                  <c:v>1172</c:v>
                </c:pt>
                <c:pt idx="15">
                  <c:v>944</c:v>
                </c:pt>
                <c:pt idx="16">
                  <c:v>906</c:v>
                </c:pt>
                <c:pt idx="17">
                  <c:v>1235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50B-9B42-BCEA-08E680647757}"/>
            </c:ext>
          </c:extLst>
        </c:ser>
        <c:ser>
          <c:idx val="9"/>
          <c:order val="9"/>
          <c:tx>
            <c:strRef>
              <c:f>Diet!$Q$8</c:f>
              <c:strCache>
                <c:ptCount val="1"/>
                <c:pt idx="0">
                  <c:v>Alcoholic Beverages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Diet!$G$9:$G$26</c:f>
              <c:strCache>
                <c:ptCount val="18"/>
                <c:pt idx="0">
                  <c:v>Japan</c:v>
                </c:pt>
                <c:pt idx="1">
                  <c:v>Australia</c:v>
                </c:pt>
                <c:pt idx="2">
                  <c:v>Canada</c:v>
                </c:pt>
                <c:pt idx="3">
                  <c:v>France</c:v>
                </c:pt>
                <c:pt idx="4">
                  <c:v>Switzerland</c:v>
                </c:pt>
                <c:pt idx="5">
                  <c:v>Iceland</c:v>
                </c:pt>
                <c:pt idx="6">
                  <c:v>Ireland</c:v>
                </c:pt>
                <c:pt idx="7">
                  <c:v>United Kingdom</c:v>
                </c:pt>
                <c:pt idx="8">
                  <c:v>Germany</c:v>
                </c:pt>
                <c:pt idx="9">
                  <c:v>South Korea</c:v>
                </c:pt>
                <c:pt idx="10">
                  <c:v>United States</c:v>
                </c:pt>
                <c:pt idx="11">
                  <c:v>China</c:v>
                </c:pt>
                <c:pt idx="12">
                  <c:v>Saudi Arabia</c:v>
                </c:pt>
                <c:pt idx="13">
                  <c:v>India</c:v>
                </c:pt>
                <c:pt idx="14">
                  <c:v>Russia</c:v>
                </c:pt>
                <c:pt idx="15">
                  <c:v>Kiribati</c:v>
                </c:pt>
                <c:pt idx="16">
                  <c:v>Haiti</c:v>
                </c:pt>
                <c:pt idx="17">
                  <c:v>Chad</c:v>
                </c:pt>
              </c:strCache>
            </c:strRef>
          </c:cat>
          <c:val>
            <c:numRef>
              <c:f>Diet!$Q$9:$Q$26</c:f>
              <c:numCache>
                <c:formatCode>General</c:formatCode>
                <c:ptCount val="18"/>
                <c:pt idx="0">
                  <c:v>123</c:v>
                </c:pt>
                <c:pt idx="1">
                  <c:v>130</c:v>
                </c:pt>
                <c:pt idx="2">
                  <c:v>106</c:v>
                </c:pt>
                <c:pt idx="3">
                  <c:v>139</c:v>
                </c:pt>
                <c:pt idx="4">
                  <c:v>175</c:v>
                </c:pt>
                <c:pt idx="5">
                  <c:v>123</c:v>
                </c:pt>
                <c:pt idx="6">
                  <c:v>286</c:v>
                </c:pt>
                <c:pt idx="7">
                  <c:v>162</c:v>
                </c:pt>
                <c:pt idx="8">
                  <c:v>232</c:v>
                </c:pt>
                <c:pt idx="9">
                  <c:v>136</c:v>
                </c:pt>
                <c:pt idx="10">
                  <c:v>167</c:v>
                </c:pt>
                <c:pt idx="11">
                  <c:v>90</c:v>
                </c:pt>
                <c:pt idx="12">
                  <c:v>0</c:v>
                </c:pt>
                <c:pt idx="13">
                  <c:v>10</c:v>
                </c:pt>
                <c:pt idx="14">
                  <c:v>181</c:v>
                </c:pt>
                <c:pt idx="15">
                  <c:v>7</c:v>
                </c:pt>
                <c:pt idx="16">
                  <c:v>74</c:v>
                </c:pt>
                <c:pt idx="1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50B-9B42-BCEA-08E680647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5506703"/>
        <c:axId val="1275594799"/>
      </c:lineChart>
      <c:catAx>
        <c:axId val="1275506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5594799"/>
        <c:crosses val="autoZero"/>
        <c:auto val="1"/>
        <c:lblAlgn val="ctr"/>
        <c:lblOffset val="100"/>
        <c:noMultiLvlLbl val="0"/>
      </c:catAx>
      <c:valAx>
        <c:axId val="1275594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5506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558800</xdr:colOff>
      <xdr:row>10</xdr:row>
      <xdr:rowOff>12700</xdr:rowOff>
    </xdr:from>
    <xdr:to>
      <xdr:col>20</xdr:col>
      <xdr:colOff>355600</xdr:colOff>
      <xdr:row>24</xdr:row>
      <xdr:rowOff>63500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D7519E1-BFC7-534B-8935-BB9157E401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42718</xdr:colOff>
      <xdr:row>29</xdr:row>
      <xdr:rowOff>71583</xdr:rowOff>
    </xdr:from>
    <xdr:to>
      <xdr:col>13</xdr:col>
      <xdr:colOff>770082</xdr:colOff>
      <xdr:row>59</xdr:row>
      <xdr:rowOff>151245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70A0991-E2AA-074F-8531-0F9070446E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f4e.europa.eu/understandingfusion/merits.aspx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0EBA7-5463-DF4B-A77B-D565CCB24752}">
  <dimension ref="A1:G17"/>
  <sheetViews>
    <sheetView workbookViewId="0"/>
  </sheetViews>
  <sheetFormatPr baseColWidth="10" defaultRowHeight="16"/>
  <sheetData>
    <row r="1" spans="1:7">
      <c r="A1" t="s">
        <v>901</v>
      </c>
      <c r="B1" t="s">
        <v>902</v>
      </c>
      <c r="C1" t="s">
        <v>902</v>
      </c>
      <c r="D1" t="s">
        <v>903</v>
      </c>
      <c r="E1" t="s">
        <v>904</v>
      </c>
      <c r="F1" t="s">
        <v>922</v>
      </c>
      <c r="G1">
        <f>SUM(E:E)</f>
        <v>364</v>
      </c>
    </row>
    <row r="2" spans="1:7">
      <c r="A2" s="132">
        <v>0</v>
      </c>
      <c r="B2" s="132">
        <f>1</f>
        <v>1</v>
      </c>
      <c r="C2" s="132" t="s">
        <v>905</v>
      </c>
      <c r="D2" s="132">
        <f>IF(MOD(B2,4)=1,1,0)</f>
        <v>1</v>
      </c>
      <c r="E2" s="132">
        <f>IF(D2,7,28)</f>
        <v>7</v>
      </c>
    </row>
    <row r="3" spans="1:7">
      <c r="A3">
        <f>A2+E2</f>
        <v>7</v>
      </c>
      <c r="B3">
        <f>B2+1</f>
        <v>2</v>
      </c>
      <c r="C3" t="s">
        <v>906</v>
      </c>
      <c r="D3">
        <f t="shared" ref="D3:D17" si="0">IF(MOD(B3,4)=1,1,0)</f>
        <v>0</v>
      </c>
      <c r="E3">
        <f t="shared" ref="E3:E17" si="1">IF(D3,7,28)</f>
        <v>28</v>
      </c>
    </row>
    <row r="4" spans="1:7">
      <c r="A4">
        <f t="shared" ref="A4:A17" si="2">A3+E3</f>
        <v>35</v>
      </c>
      <c r="B4">
        <f t="shared" ref="B4:B17" si="3">B3+1</f>
        <v>3</v>
      </c>
      <c r="C4" t="s">
        <v>907</v>
      </c>
      <c r="D4">
        <f t="shared" si="0"/>
        <v>0</v>
      </c>
      <c r="E4">
        <f t="shared" si="1"/>
        <v>28</v>
      </c>
    </row>
    <row r="5" spans="1:7">
      <c r="A5">
        <f t="shared" si="2"/>
        <v>63</v>
      </c>
      <c r="B5">
        <f t="shared" si="3"/>
        <v>4</v>
      </c>
      <c r="C5" t="s">
        <v>908</v>
      </c>
      <c r="D5">
        <f t="shared" si="0"/>
        <v>0</v>
      </c>
      <c r="E5">
        <f t="shared" si="1"/>
        <v>28</v>
      </c>
    </row>
    <row r="6" spans="1:7">
      <c r="A6" s="132">
        <f t="shared" si="2"/>
        <v>91</v>
      </c>
      <c r="B6" s="132">
        <f t="shared" si="3"/>
        <v>5</v>
      </c>
      <c r="C6" s="132" t="s">
        <v>909</v>
      </c>
      <c r="D6" s="132">
        <f t="shared" si="0"/>
        <v>1</v>
      </c>
      <c r="E6" s="132">
        <f t="shared" si="1"/>
        <v>7</v>
      </c>
    </row>
    <row r="7" spans="1:7">
      <c r="A7">
        <f t="shared" si="2"/>
        <v>98</v>
      </c>
      <c r="B7">
        <f t="shared" si="3"/>
        <v>6</v>
      </c>
      <c r="C7" t="s">
        <v>910</v>
      </c>
      <c r="D7">
        <f t="shared" si="0"/>
        <v>0</v>
      </c>
      <c r="E7">
        <f t="shared" si="1"/>
        <v>28</v>
      </c>
    </row>
    <row r="8" spans="1:7">
      <c r="A8">
        <f t="shared" si="2"/>
        <v>126</v>
      </c>
      <c r="B8">
        <f t="shared" si="3"/>
        <v>7</v>
      </c>
      <c r="C8" t="s">
        <v>911</v>
      </c>
      <c r="D8">
        <f t="shared" si="0"/>
        <v>0</v>
      </c>
      <c r="E8">
        <f t="shared" si="1"/>
        <v>28</v>
      </c>
    </row>
    <row r="9" spans="1:7">
      <c r="A9">
        <f t="shared" si="2"/>
        <v>154</v>
      </c>
      <c r="B9">
        <f t="shared" si="3"/>
        <v>8</v>
      </c>
      <c r="C9" t="s">
        <v>912</v>
      </c>
      <c r="D9">
        <f t="shared" si="0"/>
        <v>0</v>
      </c>
      <c r="E9">
        <f t="shared" si="1"/>
        <v>28</v>
      </c>
    </row>
    <row r="10" spans="1:7">
      <c r="A10" s="132">
        <f t="shared" si="2"/>
        <v>182</v>
      </c>
      <c r="B10" s="132">
        <f t="shared" si="3"/>
        <v>9</v>
      </c>
      <c r="C10" s="132" t="s">
        <v>913</v>
      </c>
      <c r="D10" s="132">
        <f t="shared" si="0"/>
        <v>1</v>
      </c>
      <c r="E10" s="132">
        <f t="shared" si="1"/>
        <v>7</v>
      </c>
    </row>
    <row r="11" spans="1:7">
      <c r="A11">
        <f t="shared" si="2"/>
        <v>189</v>
      </c>
      <c r="B11">
        <f t="shared" si="3"/>
        <v>10</v>
      </c>
      <c r="C11" t="s">
        <v>914</v>
      </c>
      <c r="D11">
        <f t="shared" si="0"/>
        <v>0</v>
      </c>
      <c r="E11">
        <f t="shared" si="1"/>
        <v>28</v>
      </c>
    </row>
    <row r="12" spans="1:7">
      <c r="A12">
        <f t="shared" si="2"/>
        <v>217</v>
      </c>
      <c r="B12">
        <f t="shared" si="3"/>
        <v>11</v>
      </c>
      <c r="C12" t="s">
        <v>915</v>
      </c>
      <c r="D12">
        <f t="shared" si="0"/>
        <v>0</v>
      </c>
      <c r="E12">
        <f t="shared" si="1"/>
        <v>28</v>
      </c>
    </row>
    <row r="13" spans="1:7">
      <c r="A13">
        <f t="shared" si="2"/>
        <v>245</v>
      </c>
      <c r="B13">
        <f t="shared" si="3"/>
        <v>12</v>
      </c>
      <c r="C13" t="s">
        <v>916</v>
      </c>
      <c r="D13">
        <f t="shared" si="0"/>
        <v>0</v>
      </c>
      <c r="E13">
        <f t="shared" si="1"/>
        <v>28</v>
      </c>
    </row>
    <row r="14" spans="1:7">
      <c r="A14" s="132">
        <f t="shared" si="2"/>
        <v>273</v>
      </c>
      <c r="B14" s="132">
        <f t="shared" si="3"/>
        <v>13</v>
      </c>
      <c r="C14" s="132" t="s">
        <v>917</v>
      </c>
      <c r="D14" s="132">
        <f t="shared" si="0"/>
        <v>1</v>
      </c>
      <c r="E14" s="132">
        <f t="shared" si="1"/>
        <v>7</v>
      </c>
    </row>
    <row r="15" spans="1:7">
      <c r="A15">
        <f t="shared" si="2"/>
        <v>280</v>
      </c>
      <c r="B15">
        <f t="shared" si="3"/>
        <v>14</v>
      </c>
      <c r="C15" t="s">
        <v>918</v>
      </c>
      <c r="D15">
        <f t="shared" si="0"/>
        <v>0</v>
      </c>
      <c r="E15">
        <f t="shared" si="1"/>
        <v>28</v>
      </c>
    </row>
    <row r="16" spans="1:7">
      <c r="A16">
        <f t="shared" si="2"/>
        <v>308</v>
      </c>
      <c r="B16">
        <f t="shared" si="3"/>
        <v>15</v>
      </c>
      <c r="C16" t="s">
        <v>919</v>
      </c>
      <c r="D16">
        <f t="shared" si="0"/>
        <v>0</v>
      </c>
      <c r="E16">
        <f t="shared" si="1"/>
        <v>28</v>
      </c>
    </row>
    <row r="17" spans="1:5">
      <c r="A17">
        <f t="shared" si="2"/>
        <v>336</v>
      </c>
      <c r="B17">
        <f t="shared" si="3"/>
        <v>16</v>
      </c>
      <c r="C17" t="s">
        <v>920</v>
      </c>
      <c r="D17">
        <f t="shared" si="0"/>
        <v>0</v>
      </c>
      <c r="E17">
        <f t="shared" si="1"/>
        <v>28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2313F-8851-C54C-99BB-2F5A73C6B364}">
  <dimension ref="A1:J42"/>
  <sheetViews>
    <sheetView workbookViewId="0"/>
  </sheetViews>
  <sheetFormatPr baseColWidth="10" defaultRowHeight="16"/>
  <cols>
    <col min="1" max="1" width="19.1640625" bestFit="1" customWidth="1"/>
    <col min="2" max="2" width="22.1640625" bestFit="1" customWidth="1"/>
    <col min="3" max="3" width="4.6640625" customWidth="1"/>
    <col min="4" max="4" width="20.5" style="106" bestFit="1" customWidth="1"/>
    <col min="5" max="5" width="16.33203125" style="107" bestFit="1" customWidth="1"/>
    <col min="6" max="6" width="20.5" style="106" bestFit="1" customWidth="1"/>
    <col min="7" max="7" width="16.33203125" style="107" bestFit="1" customWidth="1"/>
  </cols>
  <sheetData>
    <row r="1" spans="1:8">
      <c r="A1" t="s">
        <v>606</v>
      </c>
      <c r="D1" s="104">
        <f>Vehicle!E12</f>
        <v>1954</v>
      </c>
      <c r="E1" s="105"/>
      <c r="F1" s="104">
        <f>Vehicle!B12</f>
        <v>541</v>
      </c>
      <c r="G1" s="105"/>
    </row>
    <row r="2" spans="1:8">
      <c r="D2" s="140" t="s">
        <v>42</v>
      </c>
      <c r="E2" s="141"/>
      <c r="F2" s="140" t="s">
        <v>786</v>
      </c>
      <c r="G2" s="141"/>
    </row>
    <row r="3" spans="1:8">
      <c r="A3" t="s">
        <v>605</v>
      </c>
      <c r="C3" t="s">
        <v>29</v>
      </c>
      <c r="D3" s="106" t="s">
        <v>634</v>
      </c>
      <c r="E3" s="107" t="s">
        <v>30</v>
      </c>
      <c r="F3" s="106" t="s">
        <v>634</v>
      </c>
      <c r="G3" s="107" t="s">
        <v>30</v>
      </c>
    </row>
    <row r="4" spans="1:8">
      <c r="A4" t="s">
        <v>612</v>
      </c>
      <c r="D4" s="106">
        <f>SUM(D5:D7)</f>
        <v>797</v>
      </c>
      <c r="F4" s="108">
        <f>SUM(F5:F7)</f>
        <v>105.76183663815301</v>
      </c>
    </row>
    <row r="5" spans="1:8">
      <c r="A5" t="s">
        <v>39</v>
      </c>
      <c r="B5">
        <f>100000*0.25</f>
        <v>25000</v>
      </c>
      <c r="D5" s="106">
        <f>MAX('Population Model'!I:I)</f>
        <v>496</v>
      </c>
      <c r="F5" s="106">
        <f>'Population Model'!I3</f>
        <v>82</v>
      </c>
    </row>
    <row r="6" spans="1:8">
      <c r="A6" t="s">
        <v>611</v>
      </c>
      <c r="B6">
        <f>CEILING(B5/18,1)</f>
        <v>1389</v>
      </c>
      <c r="D6" s="106">
        <f>CEILING(MAX('Population Model'!G:G),1)</f>
        <v>24</v>
      </c>
      <c r="F6" s="108">
        <f>'Population Model'!G3</f>
        <v>23.761836638153017</v>
      </c>
    </row>
    <row r="7" spans="1:8">
      <c r="A7" t="s">
        <v>607</v>
      </c>
      <c r="B7">
        <f>100000*0.15</f>
        <v>15000</v>
      </c>
      <c r="D7" s="106">
        <f>CEILING(MAX('Population Model'!S:S)*D1,1)</f>
        <v>277</v>
      </c>
      <c r="F7" s="106">
        <f>CEILING(0*F1,1)</f>
        <v>0</v>
      </c>
    </row>
    <row r="8" spans="1:8">
      <c r="A8" t="s">
        <v>608</v>
      </c>
      <c r="D8" s="106">
        <f>D1-SUM(D5:D7)</f>
        <v>1157</v>
      </c>
      <c r="E8" s="107">
        <f>SUM(D9:D11)</f>
        <v>1157</v>
      </c>
      <c r="F8" s="108">
        <f>F1-SUM(F5:F7)</f>
        <v>435.238163361847</v>
      </c>
      <c r="G8" s="107">
        <f>SUM(F9:F11)</f>
        <v>436</v>
      </c>
    </row>
    <row r="9" spans="1:8">
      <c r="A9" t="s">
        <v>608</v>
      </c>
      <c r="B9" t="s">
        <v>596</v>
      </c>
      <c r="D9" s="106">
        <f>CEILING(SUM(E14:E23),1)</f>
        <v>230</v>
      </c>
      <c r="F9" s="106">
        <f>CEILING(SUM(G14:G23),1)</f>
        <v>66</v>
      </c>
    </row>
    <row r="10" spans="1:8">
      <c r="A10" t="s">
        <v>608</v>
      </c>
      <c r="B10" t="s">
        <v>616</v>
      </c>
      <c r="D10" s="106">
        <f>D28</f>
        <v>909</v>
      </c>
      <c r="F10" s="106">
        <f>F28</f>
        <v>626</v>
      </c>
    </row>
    <row r="11" spans="1:8">
      <c r="A11" t="s">
        <v>608</v>
      </c>
      <c r="B11" t="s">
        <v>615</v>
      </c>
      <c r="D11" s="106">
        <f>E36</f>
        <v>18</v>
      </c>
      <c r="F11" s="106">
        <f>G36</f>
        <v>-256</v>
      </c>
    </row>
    <row r="13" spans="1:8">
      <c r="A13" t="s">
        <v>617</v>
      </c>
      <c r="B13" t="s">
        <v>604</v>
      </c>
      <c r="E13" s="107">
        <f>SUM(E14:E24)</f>
        <v>230</v>
      </c>
      <c r="G13" s="107">
        <f>SUM(G14:G24)</f>
        <v>66</v>
      </c>
    </row>
    <row r="14" spans="1:8">
      <c r="A14" t="s">
        <v>602</v>
      </c>
      <c r="B14">
        <v>1419</v>
      </c>
      <c r="D14" s="106">
        <f t="shared" ref="D14:D24" si="0">FLOOR(B14/100000*$D$1,0.1)</f>
        <v>27.700000000000003</v>
      </c>
      <c r="E14" s="107">
        <f>IF(D14&gt;C14,FLOOR(D14,1),C14)</f>
        <v>27</v>
      </c>
      <c r="F14" s="106">
        <f>FLOOR(B14/100000*$F$1,0.1)</f>
        <v>7.6000000000000005</v>
      </c>
      <c r="G14" s="107">
        <f>IF(F14&gt;C14,FLOOR(F14,1),C14)</f>
        <v>7</v>
      </c>
      <c r="H14" t="s">
        <v>627</v>
      </c>
    </row>
    <row r="15" spans="1:8">
      <c r="A15" t="s">
        <v>601</v>
      </c>
      <c r="B15">
        <v>568</v>
      </c>
      <c r="D15" s="106">
        <f t="shared" si="0"/>
        <v>11</v>
      </c>
      <c r="E15" s="107">
        <f t="shared" ref="E15:E26" si="1">IF(D15&gt;C15,FLOOR(D15,1),C15)</f>
        <v>11</v>
      </c>
      <c r="F15" s="106">
        <f t="shared" ref="F15:F24" si="2">FLOOR(B15/100000*$F$1,0.1)</f>
        <v>3</v>
      </c>
      <c r="G15" s="107">
        <f t="shared" ref="G15:G24" si="3">IF(F15&gt;C15,FLOOR(F15,1),C15)</f>
        <v>3</v>
      </c>
      <c r="H15" t="s">
        <v>627</v>
      </c>
    </row>
    <row r="16" spans="1:8">
      <c r="A16" t="s">
        <v>599</v>
      </c>
      <c r="B16">
        <v>508</v>
      </c>
      <c r="D16" s="106">
        <f t="shared" si="0"/>
        <v>9.9</v>
      </c>
      <c r="E16" s="107">
        <f t="shared" si="1"/>
        <v>9</v>
      </c>
      <c r="F16" s="106">
        <f t="shared" si="2"/>
        <v>2.7</v>
      </c>
      <c r="G16" s="107">
        <f t="shared" si="3"/>
        <v>2</v>
      </c>
      <c r="H16" t="s">
        <v>627</v>
      </c>
    </row>
    <row r="17" spans="1:10">
      <c r="A17" t="s">
        <v>610</v>
      </c>
      <c r="B17">
        <f>FLOOR(B5*(18-4)/(18*12),1)</f>
        <v>1620</v>
      </c>
      <c r="C17">
        <v>1</v>
      </c>
      <c r="D17" s="106">
        <f t="shared" si="0"/>
        <v>31.6</v>
      </c>
      <c r="E17" s="107">
        <f t="shared" si="1"/>
        <v>31</v>
      </c>
      <c r="F17" s="106">
        <f t="shared" si="2"/>
        <v>8.7000000000000011</v>
      </c>
      <c r="G17" s="107">
        <f t="shared" si="3"/>
        <v>8</v>
      </c>
      <c r="H17" t="s">
        <v>613</v>
      </c>
    </row>
    <row r="18" spans="1:10">
      <c r="A18" t="s">
        <v>628</v>
      </c>
      <c r="B18">
        <v>300</v>
      </c>
      <c r="D18" s="106">
        <f t="shared" si="0"/>
        <v>5.8000000000000007</v>
      </c>
      <c r="E18" s="107">
        <f t="shared" ref="E18" si="4">IF(D18&gt;C18,FLOOR(D18,1),C18)</f>
        <v>5</v>
      </c>
      <c r="F18" s="106">
        <f t="shared" si="2"/>
        <v>1.6</v>
      </c>
      <c r="G18" s="107">
        <f t="shared" si="3"/>
        <v>1</v>
      </c>
      <c r="H18" t="s">
        <v>630</v>
      </c>
      <c r="J18" t="s">
        <v>629</v>
      </c>
    </row>
    <row r="19" spans="1:10">
      <c r="A19" t="s">
        <v>603</v>
      </c>
      <c r="B19">
        <v>667</v>
      </c>
      <c r="D19" s="106">
        <f t="shared" si="0"/>
        <v>13</v>
      </c>
      <c r="E19" s="107">
        <f t="shared" si="1"/>
        <v>13</v>
      </c>
      <c r="F19" s="106">
        <f t="shared" si="2"/>
        <v>3.6</v>
      </c>
      <c r="G19" s="107">
        <f t="shared" si="3"/>
        <v>3</v>
      </c>
      <c r="H19" t="s">
        <v>627</v>
      </c>
    </row>
    <row r="20" spans="1:10">
      <c r="A20" t="s">
        <v>595</v>
      </c>
      <c r="B20">
        <v>95</v>
      </c>
      <c r="C20">
        <v>8</v>
      </c>
      <c r="D20" s="106">
        <f t="shared" si="0"/>
        <v>1.8</v>
      </c>
      <c r="E20" s="107">
        <f t="shared" si="1"/>
        <v>8</v>
      </c>
      <c r="F20" s="106">
        <f t="shared" si="2"/>
        <v>0.5</v>
      </c>
      <c r="G20" s="107">
        <f t="shared" si="3"/>
        <v>8</v>
      </c>
      <c r="H20" t="s">
        <v>618</v>
      </c>
    </row>
    <row r="21" spans="1:10">
      <c r="A21" t="s">
        <v>598</v>
      </c>
      <c r="B21">
        <v>3594</v>
      </c>
      <c r="D21" s="106">
        <f t="shared" si="0"/>
        <v>70.2</v>
      </c>
      <c r="E21" s="107">
        <f t="shared" si="1"/>
        <v>70</v>
      </c>
      <c r="F21" s="106">
        <f t="shared" si="2"/>
        <v>19.400000000000002</v>
      </c>
      <c r="G21" s="107">
        <f t="shared" si="3"/>
        <v>19</v>
      </c>
      <c r="H21" t="s">
        <v>627</v>
      </c>
    </row>
    <row r="22" spans="1:10">
      <c r="A22" t="s">
        <v>619</v>
      </c>
      <c r="B22">
        <f>FLOOR(B5*0.4*4/18,1)</f>
        <v>2222</v>
      </c>
      <c r="D22" s="106">
        <f t="shared" si="0"/>
        <v>43.400000000000006</v>
      </c>
      <c r="E22" s="107">
        <f t="shared" ref="E22" si="5">IF(D22&gt;C22,FLOOR(D22,1),C22)</f>
        <v>43</v>
      </c>
      <c r="F22" s="106">
        <f t="shared" si="2"/>
        <v>12</v>
      </c>
      <c r="G22" s="107">
        <f t="shared" si="3"/>
        <v>12</v>
      </c>
      <c r="H22" t="s">
        <v>620</v>
      </c>
    </row>
    <row r="23" spans="1:10">
      <c r="A23" t="s">
        <v>600</v>
      </c>
      <c r="B23">
        <v>681</v>
      </c>
      <c r="D23" s="106">
        <f t="shared" si="0"/>
        <v>13.3</v>
      </c>
      <c r="E23" s="107">
        <f t="shared" si="1"/>
        <v>13</v>
      </c>
      <c r="F23" s="106">
        <f t="shared" si="2"/>
        <v>3.6</v>
      </c>
      <c r="G23" s="107">
        <f t="shared" si="3"/>
        <v>3</v>
      </c>
      <c r="H23" t="s">
        <v>627</v>
      </c>
    </row>
    <row r="24" spans="1:10">
      <c r="A24" t="s">
        <v>706</v>
      </c>
      <c r="B24" s="91">
        <f>1999474/144898471*1000</f>
        <v>13.799138018509526</v>
      </c>
      <c r="C24">
        <v>0</v>
      </c>
      <c r="D24" s="106">
        <f t="shared" si="0"/>
        <v>0.2</v>
      </c>
      <c r="E24" s="107">
        <f t="shared" ref="E24" si="6">IF(D24&gt;C24,FLOOR(D24,1),C24)</f>
        <v>0</v>
      </c>
      <c r="F24" s="106">
        <f t="shared" si="2"/>
        <v>0</v>
      </c>
      <c r="G24" s="107">
        <f t="shared" si="3"/>
        <v>0</v>
      </c>
      <c r="H24" t="s">
        <v>707</v>
      </c>
    </row>
    <row r="25" spans="1:10">
      <c r="B25" s="46"/>
    </row>
    <row r="26" spans="1:10">
      <c r="A26" t="s">
        <v>614</v>
      </c>
      <c r="B26">
        <v>300</v>
      </c>
      <c r="D26" s="106">
        <f>FLOOR(B26/100000*$D$1,0.1)</f>
        <v>5.8000000000000007</v>
      </c>
      <c r="E26" s="107">
        <f t="shared" si="1"/>
        <v>5</v>
      </c>
      <c r="F26" s="106">
        <f>FLOOR(D26/100000*$D$1,0.1)</f>
        <v>0.1</v>
      </c>
      <c r="G26" s="107">
        <f t="shared" ref="G26" si="7">IF(F26&gt;E26,FLOOR(F26,1),E26)</f>
        <v>5</v>
      </c>
      <c r="H26" t="s">
        <v>627</v>
      </c>
    </row>
    <row r="28" spans="1:10">
      <c r="B28" t="s">
        <v>626</v>
      </c>
      <c r="D28" s="106">
        <f>SUM(D29:D33)</f>
        <v>909</v>
      </c>
      <c r="F28" s="106">
        <f>SUM(F29:F33)</f>
        <v>626</v>
      </c>
    </row>
    <row r="29" spans="1:10">
      <c r="A29" t="s">
        <v>690</v>
      </c>
      <c r="D29" s="106">
        <f>Automation!C4</f>
        <v>25</v>
      </c>
      <c r="E29" s="107">
        <f>D29</f>
        <v>25</v>
      </c>
      <c r="F29" s="106">
        <f>Automation!C4</f>
        <v>25</v>
      </c>
      <c r="G29" s="107">
        <f>F29</f>
        <v>25</v>
      </c>
    </row>
    <row r="30" spans="1:10">
      <c r="A30" t="s">
        <v>635</v>
      </c>
      <c r="D30" s="106">
        <f>CEILING((D29+D31)*0.05,1)</f>
        <v>40</v>
      </c>
      <c r="E30" s="107">
        <f t="shared" ref="E30:E33" si="8">D30</f>
        <v>40</v>
      </c>
      <c r="F30" s="106">
        <f>CEILING((F29+F31)*0.05,1)</f>
        <v>30</v>
      </c>
      <c r="G30" s="107">
        <f t="shared" ref="G30:G33" si="9">F30</f>
        <v>30</v>
      </c>
    </row>
    <row r="31" spans="1:10">
      <c r="A31" t="s">
        <v>624</v>
      </c>
      <c r="D31" s="106">
        <f>Automation!C3</f>
        <v>758</v>
      </c>
      <c r="E31" s="107">
        <f t="shared" si="8"/>
        <v>758</v>
      </c>
      <c r="F31" s="106">
        <f>CEILING(Automation!C3*0.75,1)</f>
        <v>569</v>
      </c>
      <c r="G31" s="107">
        <f t="shared" si="9"/>
        <v>569</v>
      </c>
      <c r="H31" t="s">
        <v>625</v>
      </c>
    </row>
    <row r="32" spans="1:10" ht="18" customHeight="1">
      <c r="A32" t="s">
        <v>609</v>
      </c>
      <c r="D32" s="106">
        <f>CEILING(SUM(D29:D31)*0.05,1)</f>
        <v>42</v>
      </c>
      <c r="E32" s="107">
        <f t="shared" si="8"/>
        <v>42</v>
      </c>
      <c r="F32" s="106">
        <f>CEILING(SUM(F29:F31)*0.001,1)</f>
        <v>1</v>
      </c>
      <c r="G32" s="107">
        <f t="shared" si="9"/>
        <v>1</v>
      </c>
    </row>
    <row r="33" spans="1:7" ht="18" customHeight="1">
      <c r="A33" t="s">
        <v>621</v>
      </c>
      <c r="D33" s="106">
        <f>CEILING(SUM(D29:D32)*0.05,1)</f>
        <v>44</v>
      </c>
      <c r="E33" s="107">
        <f t="shared" si="8"/>
        <v>44</v>
      </c>
      <c r="F33" s="106">
        <f>CEILING(SUM(F29:F32)*0.001,1)</f>
        <v>1</v>
      </c>
      <c r="G33" s="107">
        <f t="shared" si="9"/>
        <v>1</v>
      </c>
    </row>
    <row r="35" spans="1:7">
      <c r="B35" t="s">
        <v>626</v>
      </c>
      <c r="D35" s="106">
        <f>SUM(D37:D42)</f>
        <v>17</v>
      </c>
      <c r="F35" s="106">
        <f>SUM(F37:F42)</f>
        <v>-257</v>
      </c>
    </row>
    <row r="36" spans="1:7">
      <c r="A36" t="s">
        <v>615</v>
      </c>
      <c r="B36">
        <f>SUM(B37:B42)</f>
        <v>1.375</v>
      </c>
      <c r="C36">
        <f>SUM(C37:C41)</f>
        <v>43</v>
      </c>
      <c r="D36" s="106">
        <f>D8-D9-D10</f>
        <v>18</v>
      </c>
      <c r="E36" s="107">
        <f>SUM(E37:E42)</f>
        <v>18</v>
      </c>
      <c r="F36" s="106">
        <f>CEILING(F8-F9-F10,1)</f>
        <v>-256</v>
      </c>
      <c r="G36" s="107">
        <f>SUM(G37:G42)</f>
        <v>-256</v>
      </c>
    </row>
    <row r="37" spans="1:7" ht="17">
      <c r="A37" t="s">
        <v>632</v>
      </c>
      <c r="B37" s="78">
        <v>0.05</v>
      </c>
      <c r="C37" s="78">
        <v>3</v>
      </c>
      <c r="D37" s="106">
        <f>$C37+FLOOR($B37*($D36-$C36)/$B$36,0.5)</f>
        <v>2</v>
      </c>
      <c r="E37" s="107">
        <f>CEILING(D37,1)</f>
        <v>2</v>
      </c>
      <c r="F37" s="106">
        <f>$C37+FLOOR($B37*($F$36-$C$36)/$B$36,0.5)</f>
        <v>-8</v>
      </c>
      <c r="G37" s="107">
        <f>CEILING(F37,1)</f>
        <v>-8</v>
      </c>
    </row>
    <row r="38" spans="1:7">
      <c r="A38" t="s">
        <v>623</v>
      </c>
      <c r="B38">
        <v>0.85</v>
      </c>
      <c r="C38">
        <v>30</v>
      </c>
      <c r="D38" s="106">
        <f t="shared" ref="D38:D42" si="10">C38+FLOOR(B38*($D$36-$C$36)/$B$36,0.5)</f>
        <v>14.5</v>
      </c>
      <c r="E38" s="107">
        <f t="shared" ref="E38:E42" si="11">CEILING(D38,1)</f>
        <v>15</v>
      </c>
      <c r="F38" s="106">
        <f t="shared" ref="F38:F42" si="12">$C38+FLOOR($B38*($F$36-$C$36)/$B$36,0.5)</f>
        <v>-155</v>
      </c>
      <c r="G38" s="107">
        <f t="shared" ref="G38:G42" si="13">CEILING(F38,1)</f>
        <v>-155</v>
      </c>
    </row>
    <row r="39" spans="1:7">
      <c r="A39" t="s">
        <v>633</v>
      </c>
      <c r="B39">
        <v>0.1</v>
      </c>
      <c r="C39">
        <v>3</v>
      </c>
      <c r="D39" s="106">
        <f t="shared" si="10"/>
        <v>1</v>
      </c>
      <c r="E39" s="107">
        <f t="shared" si="11"/>
        <v>1</v>
      </c>
      <c r="F39" s="106">
        <f t="shared" si="12"/>
        <v>-19</v>
      </c>
      <c r="G39" s="107">
        <f t="shared" si="13"/>
        <v>-19</v>
      </c>
    </row>
    <row r="40" spans="1:7">
      <c r="A40" t="s">
        <v>622</v>
      </c>
      <c r="B40">
        <v>0.2</v>
      </c>
      <c r="C40">
        <v>6</v>
      </c>
      <c r="D40" s="106">
        <f t="shared" si="10"/>
        <v>2</v>
      </c>
      <c r="E40" s="107">
        <f t="shared" si="11"/>
        <v>2</v>
      </c>
      <c r="F40" s="106">
        <f t="shared" si="12"/>
        <v>-37.5</v>
      </c>
      <c r="G40" s="107">
        <f t="shared" si="13"/>
        <v>-37</v>
      </c>
    </row>
    <row r="41" spans="1:7">
      <c r="A41" t="s">
        <v>631</v>
      </c>
      <c r="B41">
        <v>0.05</v>
      </c>
      <c r="C41">
        <v>1</v>
      </c>
      <c r="D41" s="106">
        <f t="shared" si="10"/>
        <v>0</v>
      </c>
      <c r="E41" s="107">
        <f t="shared" si="11"/>
        <v>0</v>
      </c>
      <c r="F41" s="106">
        <f t="shared" si="12"/>
        <v>-10</v>
      </c>
      <c r="G41" s="107">
        <f t="shared" si="13"/>
        <v>-10</v>
      </c>
    </row>
    <row r="42" spans="1:7">
      <c r="A42" t="s">
        <v>621</v>
      </c>
      <c r="B42">
        <f>SUM(B37:B41)*0.1</f>
        <v>0.125</v>
      </c>
      <c r="D42" s="106">
        <f t="shared" si="10"/>
        <v>-2.5</v>
      </c>
      <c r="E42" s="107">
        <f t="shared" si="11"/>
        <v>-2</v>
      </c>
      <c r="F42" s="106">
        <f t="shared" si="12"/>
        <v>-27.5</v>
      </c>
      <c r="G42" s="107">
        <f t="shared" si="13"/>
        <v>-27</v>
      </c>
    </row>
  </sheetData>
  <sortState ref="A27:D39">
    <sortCondition ref="A30:A39"/>
    <sortCondition ref="B30:B39"/>
  </sortState>
  <mergeCells count="2">
    <mergeCell ref="D2:E2"/>
    <mergeCell ref="F2:G2"/>
  </mergeCells>
  <pageMargins left="0.7" right="0.7" top="0.75" bottom="0.75" header="0.3" footer="0.3"/>
  <pageSetup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A1AE5-3090-F34A-BB87-7CAFAB9DCFD1}">
  <dimension ref="A1:AF73"/>
  <sheetViews>
    <sheetView topLeftCell="A29" workbookViewId="0">
      <selection activeCell="C48" sqref="C48"/>
    </sheetView>
  </sheetViews>
  <sheetFormatPr baseColWidth="10" defaultRowHeight="16"/>
  <cols>
    <col min="1" max="1" width="22.83203125" bestFit="1" customWidth="1"/>
    <col min="3" max="3" width="13.6640625" bestFit="1" customWidth="1"/>
    <col min="4" max="4" width="12.6640625" bestFit="1" customWidth="1"/>
    <col min="5" max="5" width="12.1640625" bestFit="1" customWidth="1"/>
    <col min="6" max="6" width="11.6640625" bestFit="1" customWidth="1"/>
    <col min="7" max="7" width="12.1640625" bestFit="1" customWidth="1"/>
    <col min="12" max="16" width="7" customWidth="1"/>
    <col min="17" max="17" width="7.5" customWidth="1"/>
    <col min="18" max="19" width="7" customWidth="1"/>
    <col min="20" max="20" width="9.6640625" customWidth="1"/>
    <col min="24" max="24" width="12.1640625" bestFit="1" customWidth="1"/>
  </cols>
  <sheetData>
    <row r="1" spans="1:29">
      <c r="A1" t="s">
        <v>76</v>
      </c>
      <c r="D1" s="3">
        <f>Vehicle!B30*0.000001</f>
        <v>59.297589086507337</v>
      </c>
      <c r="E1" t="s">
        <v>65</v>
      </c>
    </row>
    <row r="2" spans="1:29">
      <c r="A2" t="s">
        <v>677</v>
      </c>
      <c r="D2">
        <f>Vehicle!E12</f>
        <v>1954</v>
      </c>
      <c r="E2" s="7"/>
      <c r="F2" s="7"/>
      <c r="G2" s="7"/>
      <c r="H2" s="7"/>
      <c r="I2" s="7"/>
      <c r="J2" s="7"/>
      <c r="U2" s="7"/>
      <c r="V2" s="7"/>
      <c r="W2" s="7"/>
      <c r="X2" s="7"/>
      <c r="Y2" s="7"/>
      <c r="Z2" s="7"/>
      <c r="AA2" s="7"/>
      <c r="AB2" s="7"/>
      <c r="AC2" s="7"/>
    </row>
    <row r="4" spans="1:29">
      <c r="A4" t="s">
        <v>256</v>
      </c>
    </row>
    <row r="5" spans="1:29">
      <c r="A5" t="s">
        <v>258</v>
      </c>
      <c r="D5">
        <f>180*Conversion!G16</f>
        <v>69.498388800000001</v>
      </c>
      <c r="E5" t="s">
        <v>259</v>
      </c>
    </row>
    <row r="6" spans="1:29">
      <c r="A6" t="s">
        <v>257</v>
      </c>
      <c r="D6">
        <f>D2/D5</f>
        <v>28.115759713842458</v>
      </c>
      <c r="E6" t="s">
        <v>65</v>
      </c>
      <c r="F6" t="s">
        <v>75</v>
      </c>
    </row>
    <row r="7" spans="1:29">
      <c r="A7" t="s">
        <v>74</v>
      </c>
      <c r="D7">
        <f>C45*0.000001</f>
        <v>12.695963216457985</v>
      </c>
      <c r="E7" t="s">
        <v>65</v>
      </c>
    </row>
    <row r="8" spans="1:29">
      <c r="D8">
        <f>D7*Conversion!D16</f>
        <v>1269.5963216457985</v>
      </c>
      <c r="E8" t="s">
        <v>131</v>
      </c>
    </row>
    <row r="10" spans="1:29">
      <c r="A10" t="s">
        <v>216</v>
      </c>
      <c r="D10" t="s">
        <v>541</v>
      </c>
      <c r="E10" t="s">
        <v>413</v>
      </c>
      <c r="F10" t="s">
        <v>412</v>
      </c>
    </row>
    <row r="11" spans="1:29">
      <c r="C11" t="s">
        <v>225</v>
      </c>
      <c r="D11">
        <f>IF(SUM(D12:D15)&gt;G27,0,G27-SUM(D12:D15))</f>
        <v>4.3886882891414132</v>
      </c>
      <c r="E11" s="54">
        <f>Protein!B10</f>
        <v>1246705.4880082933</v>
      </c>
    </row>
    <row r="12" spans="1:29">
      <c r="C12" t="s">
        <v>224</v>
      </c>
      <c r="D12">
        <f>H12/2.2</f>
        <v>18.18181818181818</v>
      </c>
      <c r="E12" s="54">
        <f>Cattle!C8</f>
        <v>2693427.2399999998</v>
      </c>
      <c r="F12">
        <f>Cattle!C18</f>
        <v>595</v>
      </c>
      <c r="H12" s="7">
        <v>40</v>
      </c>
      <c r="I12" s="61">
        <v>67.8</v>
      </c>
      <c r="J12" s="61" t="s">
        <v>277</v>
      </c>
      <c r="K12" s="61" t="s">
        <v>279</v>
      </c>
      <c r="L12" s="61"/>
    </row>
    <row r="13" spans="1:29">
      <c r="C13" t="s">
        <v>242</v>
      </c>
      <c r="D13">
        <f>H13/2.2</f>
        <v>13.636363636363635</v>
      </c>
      <c r="E13" s="54">
        <f>Protein!B27</f>
        <v>189747.9338842975</v>
      </c>
      <c r="F13">
        <f>SUM(Protein!B19:D19)</f>
        <v>10597.623966942147</v>
      </c>
      <c r="H13" s="7">
        <v>30</v>
      </c>
      <c r="I13" s="61">
        <v>61.5</v>
      </c>
      <c r="J13" s="61" t="s">
        <v>277</v>
      </c>
      <c r="K13" s="61" t="s">
        <v>278</v>
      </c>
      <c r="L13" s="61"/>
    </row>
    <row r="14" spans="1:29">
      <c r="C14" t="s">
        <v>298</v>
      </c>
      <c r="D14">
        <f>H14/2.2</f>
        <v>4.545454545454545</v>
      </c>
      <c r="E14" s="54">
        <f>Protein!B44</f>
        <v>38449.429358520261</v>
      </c>
      <c r="F14">
        <f>Protein!B35</f>
        <v>112.78499278499277</v>
      </c>
      <c r="H14" s="7">
        <v>10</v>
      </c>
      <c r="I14" s="61">
        <v>49.8</v>
      </c>
      <c r="J14" s="61" t="s">
        <v>277</v>
      </c>
      <c r="K14" s="61" t="s">
        <v>293</v>
      </c>
      <c r="L14" s="61"/>
    </row>
    <row r="15" spans="1:29">
      <c r="C15" t="s">
        <v>538</v>
      </c>
      <c r="D15">
        <v>18</v>
      </c>
      <c r="E15" s="54">
        <f>Protein!B60</f>
        <v>196616.4001287967</v>
      </c>
    </row>
    <row r="16" spans="1:29">
      <c r="C16" t="s">
        <v>10</v>
      </c>
      <c r="E16" s="3">
        <f>SUM(E12:E14)</f>
        <v>2921624.6032428173</v>
      </c>
    </row>
    <row r="17" spans="1:32">
      <c r="C17" t="s">
        <v>479</v>
      </c>
      <c r="E17" s="3">
        <f>SUM(Crops!G4:G120)</f>
        <v>2921624.6032428173</v>
      </c>
    </row>
    <row r="19" spans="1:32">
      <c r="B19" t="s">
        <v>226</v>
      </c>
      <c r="D19">
        <v>80</v>
      </c>
      <c r="E19" s="7" t="s">
        <v>132</v>
      </c>
      <c r="F19" s="7"/>
      <c r="G19" s="7"/>
      <c r="H19" s="7"/>
      <c r="I19" s="7"/>
      <c r="J19" s="7"/>
      <c r="U19" s="7"/>
      <c r="V19" s="7"/>
      <c r="W19" s="7"/>
      <c r="X19" s="7"/>
      <c r="Y19" s="7"/>
      <c r="Z19" s="7"/>
      <c r="AA19" s="7"/>
      <c r="AB19" s="7"/>
      <c r="AC19" s="7"/>
    </row>
    <row r="20" spans="1:32">
      <c r="B20" t="s">
        <v>227</v>
      </c>
      <c r="D20">
        <v>1.25E-3</v>
      </c>
      <c r="E20" s="7" t="s">
        <v>229</v>
      </c>
      <c r="F20" s="7" t="s">
        <v>228</v>
      </c>
      <c r="G20" s="7"/>
      <c r="H20" s="7"/>
      <c r="I20" s="7"/>
      <c r="J20" s="7"/>
      <c r="U20" s="7"/>
      <c r="V20" s="7"/>
      <c r="W20" s="7"/>
      <c r="X20" s="7"/>
      <c r="Y20" s="7"/>
      <c r="Z20" s="7"/>
      <c r="AA20" s="7"/>
      <c r="AB20" s="7"/>
      <c r="AC20" s="7"/>
    </row>
    <row r="21" spans="1:32">
      <c r="B21" t="s">
        <v>240</v>
      </c>
      <c r="D21" s="5">
        <f>SUM(AB:AB)+(D19*D20*3020)</f>
        <v>302</v>
      </c>
      <c r="E21" s="7" t="s">
        <v>241</v>
      </c>
      <c r="F21" s="7"/>
      <c r="G21" s="7"/>
      <c r="H21" s="7"/>
      <c r="I21" s="7"/>
      <c r="J21" s="7"/>
      <c r="U21" s="7"/>
      <c r="V21" s="7"/>
      <c r="W21" s="7"/>
      <c r="X21" s="7"/>
      <c r="Y21" s="7"/>
      <c r="Z21" s="7"/>
      <c r="AA21" s="7"/>
      <c r="AB21" s="7"/>
      <c r="AC21" s="7"/>
    </row>
    <row r="22" spans="1:32">
      <c r="D22" s="5"/>
      <c r="E22" s="7"/>
      <c r="F22" s="7"/>
      <c r="G22" s="7"/>
      <c r="H22" s="7"/>
      <c r="I22" s="7"/>
      <c r="J22" s="7"/>
      <c r="U22" s="7"/>
      <c r="V22" s="7"/>
      <c r="W22" s="7"/>
      <c r="X22" s="7"/>
      <c r="Y22" s="7"/>
      <c r="Z22" s="7"/>
      <c r="AA22" s="7"/>
      <c r="AB22" s="7"/>
      <c r="AC22" s="7"/>
    </row>
    <row r="23" spans="1:32">
      <c r="A23" t="s">
        <v>484</v>
      </c>
      <c r="B23" t="s">
        <v>527</v>
      </c>
      <c r="D23" t="s">
        <v>481</v>
      </c>
      <c r="E23" s="7" t="s">
        <v>482</v>
      </c>
      <c r="F23" s="7" t="s">
        <v>532</v>
      </c>
      <c r="G23" s="7" t="s">
        <v>467</v>
      </c>
      <c r="H23" s="7"/>
      <c r="I23" s="7"/>
      <c r="J23" s="7"/>
      <c r="U23" s="7"/>
      <c r="V23" s="7"/>
      <c r="W23" s="7"/>
      <c r="X23" s="7"/>
      <c r="Y23" s="7"/>
      <c r="Z23" s="7"/>
      <c r="AA23" s="7"/>
      <c r="AB23" s="7"/>
      <c r="AC23" s="7"/>
    </row>
    <row r="24" spans="1:32">
      <c r="B24" t="s">
        <v>485</v>
      </c>
      <c r="D24">
        <v>1</v>
      </c>
      <c r="E24" s="7">
        <f>Diet!H5</f>
        <v>46.611111111111114</v>
      </c>
      <c r="F24">
        <v>387</v>
      </c>
      <c r="G24" s="7">
        <f t="shared" ref="G24:G34" si="0">E24/F24*0.1*365.26</f>
        <v>4.3992698822853864</v>
      </c>
      <c r="H24" s="7"/>
      <c r="I24" s="7"/>
      <c r="J24" s="7"/>
      <c r="U24" s="7"/>
      <c r="V24" s="7"/>
      <c r="W24" s="7"/>
      <c r="X24" s="7"/>
      <c r="Y24" s="7"/>
      <c r="Z24" s="7"/>
      <c r="AA24" s="7"/>
      <c r="AB24" s="7"/>
      <c r="AC24" s="7"/>
    </row>
    <row r="25" spans="1:32">
      <c r="B25" t="s">
        <v>486</v>
      </c>
      <c r="D25">
        <v>2</v>
      </c>
      <c r="E25" s="7">
        <f>Diet!I5</f>
        <v>395.1</v>
      </c>
      <c r="F25">
        <v>387</v>
      </c>
      <c r="G25" s="7">
        <f t="shared" si="0"/>
        <v>37.290497674418603</v>
      </c>
      <c r="H25" s="7"/>
      <c r="I25" s="7" t="s">
        <v>533</v>
      </c>
      <c r="J25" s="7"/>
      <c r="U25" s="7"/>
      <c r="V25" s="7"/>
      <c r="W25" s="7"/>
      <c r="X25" s="7"/>
      <c r="Y25" s="7"/>
      <c r="Z25" s="7"/>
      <c r="AA25" s="7"/>
      <c r="AB25" s="7"/>
      <c r="AC25" s="7"/>
    </row>
    <row r="26" spans="1:32">
      <c r="B26" t="s">
        <v>528</v>
      </c>
      <c r="D26">
        <v>3</v>
      </c>
      <c r="E26" s="7">
        <f>Diet!J5</f>
        <v>698.36363636363637</v>
      </c>
      <c r="F26">
        <v>884</v>
      </c>
      <c r="G26" s="7">
        <f t="shared" si="0"/>
        <v>28.855690250925544</v>
      </c>
      <c r="H26" s="7"/>
      <c r="I26" s="7"/>
      <c r="J26" s="7"/>
      <c r="U26" s="7"/>
      <c r="V26" s="7"/>
      <c r="W26" s="7"/>
      <c r="X26" s="7"/>
      <c r="Y26" s="7"/>
      <c r="Z26" s="7"/>
      <c r="AA26" s="7"/>
      <c r="AB26" s="7"/>
      <c r="AC26" s="7"/>
    </row>
    <row r="27" spans="1:32">
      <c r="B27" t="s">
        <v>520</v>
      </c>
      <c r="D27">
        <v>4</v>
      </c>
      <c r="E27" s="7">
        <f>Diet!K5</f>
        <v>463.25</v>
      </c>
      <c r="F27">
        <v>288</v>
      </c>
      <c r="G27" s="7">
        <f t="shared" si="0"/>
        <v>58.752324652777773</v>
      </c>
      <c r="H27" s="7"/>
      <c r="I27" s="7"/>
      <c r="J27" s="7"/>
      <c r="U27" s="7"/>
      <c r="V27" s="7"/>
      <c r="W27" s="7"/>
      <c r="X27" s="7"/>
      <c r="Y27" s="7"/>
      <c r="Z27" s="7"/>
      <c r="AA27" s="7"/>
      <c r="AB27" s="7"/>
      <c r="AC27" s="7"/>
    </row>
    <row r="28" spans="1:32">
      <c r="B28" t="s">
        <v>521</v>
      </c>
      <c r="D28">
        <v>5</v>
      </c>
      <c r="E28">
        <f>Diet!L5</f>
        <v>376.875</v>
      </c>
      <c r="F28">
        <v>60</v>
      </c>
      <c r="G28" s="7">
        <f t="shared" si="0"/>
        <v>229.42893750000002</v>
      </c>
      <c r="H28" s="7"/>
      <c r="I28" s="7"/>
      <c r="J28" s="7"/>
      <c r="K28" s="7"/>
      <c r="L28" s="7"/>
      <c r="M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>
      <c r="B29" t="s">
        <v>522</v>
      </c>
      <c r="D29">
        <v>6</v>
      </c>
      <c r="E29">
        <f>Diet!M5</f>
        <v>200.30769230769232</v>
      </c>
      <c r="F29">
        <v>57</v>
      </c>
      <c r="G29" s="7">
        <f t="shared" si="0"/>
        <v>128.35857489878543</v>
      </c>
      <c r="H29" s="7"/>
      <c r="I29" s="7"/>
      <c r="J29" s="7"/>
      <c r="K29" s="7"/>
      <c r="L29" s="7"/>
      <c r="M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>
      <c r="B30" t="s">
        <v>529</v>
      </c>
      <c r="D30">
        <v>7</v>
      </c>
      <c r="E30">
        <f>Diet!N5</f>
        <v>126.22222222222223</v>
      </c>
      <c r="F30">
        <v>86</v>
      </c>
      <c r="G30" s="7">
        <f t="shared" si="0"/>
        <v>53.609219638242898</v>
      </c>
      <c r="H30" s="7"/>
      <c r="I30" s="7" t="s">
        <v>535</v>
      </c>
      <c r="J30" s="7"/>
      <c r="K30" s="7"/>
      <c r="L30" s="7"/>
      <c r="M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>
      <c r="B31" t="s">
        <v>524</v>
      </c>
      <c r="D31">
        <v>8</v>
      </c>
      <c r="E31">
        <f>Diet!O5</f>
        <v>44.166666666666664</v>
      </c>
      <c r="F31">
        <v>81</v>
      </c>
      <c r="G31" s="7">
        <f t="shared" si="0"/>
        <v>19.916440329218108</v>
      </c>
      <c r="H31" s="7"/>
      <c r="I31" t="s">
        <v>536</v>
      </c>
      <c r="J31" s="7" t="s">
        <v>531</v>
      </c>
      <c r="K31" s="7"/>
      <c r="L31" s="7"/>
      <c r="M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>
      <c r="B32" t="s">
        <v>525</v>
      </c>
      <c r="D32">
        <v>9</v>
      </c>
      <c r="E32">
        <f>Diet!P5</f>
        <v>1035</v>
      </c>
      <c r="F32">
        <v>129</v>
      </c>
      <c r="G32" s="7">
        <f t="shared" si="0"/>
        <v>293.05744186046513</v>
      </c>
      <c r="I32" t="s">
        <v>534</v>
      </c>
      <c r="K32" s="7"/>
      <c r="L32" s="7"/>
      <c r="M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>
      <c r="B33" t="s">
        <v>530</v>
      </c>
      <c r="D33">
        <v>10</v>
      </c>
      <c r="E33">
        <f>Diet!Q5</f>
        <v>161.72727272727272</v>
      </c>
      <c r="F33">
        <v>85</v>
      </c>
      <c r="G33" s="7">
        <f t="shared" si="0"/>
        <v>69.497063101604283</v>
      </c>
      <c r="H33" s="7"/>
      <c r="I33" s="7" t="s">
        <v>537</v>
      </c>
      <c r="J33" s="7"/>
      <c r="K33" s="7"/>
      <c r="L33" s="7"/>
      <c r="M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>
      <c r="B34" t="s">
        <v>542</v>
      </c>
      <c r="D34">
        <v>11</v>
      </c>
      <c r="E34" s="7">
        <f>E27/2</f>
        <v>231.625</v>
      </c>
      <c r="F34" s="7">
        <f>F26</f>
        <v>884</v>
      </c>
      <c r="G34" s="7">
        <f t="shared" si="0"/>
        <v>9.5705144230769239</v>
      </c>
      <c r="H34" s="7"/>
      <c r="I34" s="7"/>
      <c r="J34" s="7"/>
      <c r="U34" s="7"/>
      <c r="V34" s="7"/>
      <c r="W34" s="7"/>
      <c r="X34" s="7"/>
      <c r="Y34" s="7"/>
      <c r="Z34" s="7"/>
      <c r="AA34" s="7"/>
      <c r="AB34" s="7"/>
      <c r="AC34" s="7"/>
    </row>
    <row r="35" spans="1:32">
      <c r="E35" s="7"/>
      <c r="F35" s="7"/>
      <c r="G35" s="7"/>
      <c r="H35" s="7"/>
      <c r="I35" s="7"/>
      <c r="J35" s="7"/>
      <c r="U35" s="7"/>
      <c r="V35" s="7"/>
      <c r="W35" s="7"/>
      <c r="X35" s="7"/>
      <c r="Y35" s="7"/>
      <c r="Z35" s="7"/>
      <c r="AA35" s="7"/>
      <c r="AB35" s="7"/>
      <c r="AC35" s="7"/>
    </row>
    <row r="36" spans="1:32">
      <c r="A36" t="s">
        <v>287</v>
      </c>
      <c r="D36" t="s">
        <v>289</v>
      </c>
      <c r="E36" s="7" t="s">
        <v>10</v>
      </c>
      <c r="F36" s="7"/>
      <c r="G36" s="7"/>
      <c r="H36" s="7"/>
      <c r="I36" s="7"/>
      <c r="J36" s="7"/>
      <c r="U36" s="7"/>
      <c r="V36" s="7"/>
      <c r="W36" s="7"/>
      <c r="X36" s="7"/>
      <c r="Y36" s="7"/>
      <c r="Z36" s="7"/>
      <c r="AA36" s="7"/>
      <c r="AB36" s="7"/>
      <c r="AC36" s="7"/>
    </row>
    <row r="37" spans="1:32">
      <c r="B37" t="s">
        <v>288</v>
      </c>
      <c r="D37">
        <f>G27</f>
        <v>58.752324652777773</v>
      </c>
      <c r="E37" s="7">
        <f>D37*$D$2</f>
        <v>114802.04237152777</v>
      </c>
      <c r="F37" s="7"/>
      <c r="G37" s="7"/>
      <c r="H37" s="7"/>
      <c r="I37" s="7"/>
      <c r="J37" s="7"/>
      <c r="U37" s="7"/>
      <c r="V37" s="7"/>
      <c r="W37" s="7"/>
      <c r="X37" s="7"/>
      <c r="Y37" s="7"/>
      <c r="Z37" s="7"/>
      <c r="AA37" s="7"/>
      <c r="AB37" s="7"/>
      <c r="AC37" s="7"/>
    </row>
    <row r="38" spans="1:32">
      <c r="B38" t="s">
        <v>290</v>
      </c>
      <c r="D38">
        <f>SUM(Crops!D6:D120)</f>
        <v>1421.4167581502643</v>
      </c>
      <c r="E38" s="53">
        <f>SUM(Crops!F6:F120)</f>
        <v>2101993.3631992317</v>
      </c>
      <c r="F38" s="7"/>
      <c r="G38" s="7"/>
      <c r="H38" s="7"/>
      <c r="I38" s="7"/>
      <c r="J38" s="7"/>
      <c r="U38" s="7"/>
      <c r="V38" s="7"/>
      <c r="W38" s="7"/>
      <c r="X38" s="7"/>
      <c r="Y38" s="7"/>
      <c r="Z38" s="7"/>
      <c r="AA38" s="7"/>
      <c r="AB38" s="7"/>
      <c r="AC38" s="7"/>
    </row>
    <row r="39" spans="1:32">
      <c r="A39" t="s">
        <v>291</v>
      </c>
      <c r="C39">
        <v>0.15</v>
      </c>
      <c r="E39" s="7">
        <f>(E37+E42)*C39</f>
        <v>17220.306355729164</v>
      </c>
      <c r="F39" s="7"/>
      <c r="G39" s="7"/>
      <c r="H39" s="7"/>
      <c r="I39" s="7"/>
      <c r="J39" s="7"/>
      <c r="U39" s="7"/>
      <c r="V39" s="7"/>
      <c r="W39" s="7"/>
      <c r="X39" s="7"/>
      <c r="Y39" s="7"/>
      <c r="Z39" s="7"/>
      <c r="AA39" s="7"/>
      <c r="AB39" s="7"/>
      <c r="AC39" s="7"/>
    </row>
    <row r="40" spans="1:32">
      <c r="A40" t="s">
        <v>710</v>
      </c>
      <c r="E40" s="7">
        <f>(E37+E38)*7</f>
        <v>15517567.838995315</v>
      </c>
      <c r="F40" s="7"/>
      <c r="G40" s="7" t="s">
        <v>711</v>
      </c>
      <c r="H40" s="7"/>
      <c r="I40" s="7"/>
      <c r="J40" s="7"/>
      <c r="U40" s="7"/>
      <c r="V40" s="7"/>
      <c r="W40" s="7"/>
      <c r="X40" s="7"/>
      <c r="Y40" s="7"/>
      <c r="Z40" s="7"/>
      <c r="AA40" s="7"/>
      <c r="AB40" s="7"/>
      <c r="AC40" s="7"/>
    </row>
    <row r="41" spans="1:32">
      <c r="E41" s="7"/>
      <c r="F41" s="7"/>
      <c r="G41" s="7"/>
      <c r="H41" s="7"/>
      <c r="I41" s="7"/>
      <c r="J41" s="7"/>
      <c r="U41" s="7"/>
      <c r="V41" s="7"/>
      <c r="W41" s="7"/>
      <c r="X41" s="7"/>
      <c r="Y41" s="7"/>
      <c r="Z41" s="7"/>
      <c r="AA41" s="7"/>
      <c r="AB41" s="7"/>
      <c r="AC41" s="7"/>
    </row>
    <row r="42" spans="1:32">
      <c r="A42" t="s">
        <v>930</v>
      </c>
      <c r="C42" s="3">
        <f>SUM(Crops!AA4:AA120)</f>
        <v>4374334.2301184833</v>
      </c>
    </row>
    <row r="43" spans="1:32">
      <c r="A43" t="s">
        <v>266</v>
      </c>
      <c r="C43" s="3">
        <f>SUM(Crops!Y4:Y120)</f>
        <v>5366371.9893074511</v>
      </c>
    </row>
    <row r="44" spans="1:32">
      <c r="A44" t="s">
        <v>267</v>
      </c>
      <c r="C44" s="3">
        <f>SUM(Crops!Z4:Z120)</f>
        <v>2955256.9970320491</v>
      </c>
      <c r="F44" t="s">
        <v>416</v>
      </c>
      <c r="G44" t="s">
        <v>377</v>
      </c>
    </row>
    <row r="45" spans="1:32">
      <c r="A45" t="s">
        <v>109</v>
      </c>
      <c r="C45" s="45">
        <f>SUM(C42:C44)</f>
        <v>12695963.216457985</v>
      </c>
      <c r="D45" s="68">
        <f>C45*Conversion!F18</f>
        <v>3137.2994704189327</v>
      </c>
      <c r="F45" t="s">
        <v>417</v>
      </c>
      <c r="G45" t="s">
        <v>418</v>
      </c>
    </row>
    <row r="46" spans="1:32">
      <c r="C46" s="16"/>
      <c r="D46" s="39"/>
      <c r="F46" t="s">
        <v>457</v>
      </c>
      <c r="G46" t="s">
        <v>115</v>
      </c>
    </row>
    <row r="47" spans="1:32">
      <c r="A47" t="s">
        <v>276</v>
      </c>
      <c r="C47" s="45">
        <f>SUM(Crops!AB4:AB120)</f>
        <v>9309187.1253169421</v>
      </c>
      <c r="D47" s="39"/>
      <c r="F47" t="s">
        <v>461</v>
      </c>
      <c r="G47" t="s">
        <v>462</v>
      </c>
    </row>
    <row r="48" spans="1:32">
      <c r="F48" t="s">
        <v>416</v>
      </c>
      <c r="G48" t="s">
        <v>417</v>
      </c>
      <c r="J48" t="s">
        <v>459</v>
      </c>
      <c r="P48" s="39"/>
    </row>
    <row r="49" spans="1:16">
      <c r="A49" t="s">
        <v>475</v>
      </c>
      <c r="C49">
        <f>SUM(Crops!L4:L120)</f>
        <v>93095</v>
      </c>
      <c r="P49" s="39"/>
    </row>
    <row r="50" spans="1:16">
      <c r="P50" s="39"/>
    </row>
    <row r="51" spans="1:16">
      <c r="A51" t="s">
        <v>668</v>
      </c>
      <c r="C51" t="s">
        <v>647</v>
      </c>
    </row>
    <row r="53" spans="1:16">
      <c r="A53" t="s">
        <v>669</v>
      </c>
      <c r="B53" t="s">
        <v>670</v>
      </c>
      <c r="C53" t="s">
        <v>671</v>
      </c>
      <c r="D53" t="s">
        <v>471</v>
      </c>
      <c r="E53" t="s">
        <v>672</v>
      </c>
    </row>
    <row r="54" spans="1:16">
      <c r="A54" t="s">
        <v>648</v>
      </c>
      <c r="B54">
        <v>10.5</v>
      </c>
    </row>
    <row r="55" spans="1:16">
      <c r="A55" t="s">
        <v>649</v>
      </c>
      <c r="B55">
        <v>24.4</v>
      </c>
    </row>
    <row r="56" spans="1:16">
      <c r="A56" t="s">
        <v>651</v>
      </c>
      <c r="B56">
        <v>5.2</v>
      </c>
    </row>
    <row r="57" spans="1:16">
      <c r="A57" t="s">
        <v>650</v>
      </c>
      <c r="B57">
        <v>8</v>
      </c>
    </row>
    <row r="58" spans="1:16">
      <c r="A58" t="s">
        <v>652</v>
      </c>
      <c r="B58">
        <v>6</v>
      </c>
    </row>
    <row r="59" spans="1:16">
      <c r="A59" t="s">
        <v>653</v>
      </c>
      <c r="B59">
        <v>6.7</v>
      </c>
    </row>
    <row r="60" spans="1:16">
      <c r="A60" t="s">
        <v>654</v>
      </c>
      <c r="B60">
        <v>3.9</v>
      </c>
    </row>
    <row r="61" spans="1:16">
      <c r="A61" t="s">
        <v>655</v>
      </c>
      <c r="B61">
        <v>4.7</v>
      </c>
    </row>
    <row r="62" spans="1:16">
      <c r="A62" t="s">
        <v>656</v>
      </c>
      <c r="B62">
        <v>11</v>
      </c>
    </row>
    <row r="63" spans="1:16">
      <c r="A63" t="s">
        <v>657</v>
      </c>
      <c r="B63">
        <v>17.600000000000001</v>
      </c>
    </row>
    <row r="64" spans="1:16">
      <c r="A64" t="s">
        <v>658</v>
      </c>
      <c r="B64">
        <v>12.6</v>
      </c>
    </row>
    <row r="65" spans="1:2">
      <c r="A65" t="s">
        <v>659</v>
      </c>
      <c r="B65">
        <v>5</v>
      </c>
    </row>
    <row r="66" spans="1:2">
      <c r="A66" t="s">
        <v>660</v>
      </c>
      <c r="B66">
        <v>9.6</v>
      </c>
    </row>
    <row r="67" spans="1:2">
      <c r="A67" t="s">
        <v>661</v>
      </c>
      <c r="B67">
        <v>12.4</v>
      </c>
    </row>
    <row r="68" spans="1:2">
      <c r="A68" t="s">
        <v>662</v>
      </c>
      <c r="B68">
        <v>16.3</v>
      </c>
    </row>
    <row r="69" spans="1:2">
      <c r="A69" t="s">
        <v>663</v>
      </c>
      <c r="B69">
        <v>46.7</v>
      </c>
    </row>
    <row r="70" spans="1:2">
      <c r="A70" t="s">
        <v>664</v>
      </c>
      <c r="B70">
        <v>4.5999999999999996</v>
      </c>
    </row>
    <row r="71" spans="1:2">
      <c r="A71" t="s">
        <v>665</v>
      </c>
      <c r="B71">
        <v>8.3000000000000007</v>
      </c>
    </row>
    <row r="72" spans="1:2">
      <c r="A72" t="s">
        <v>666</v>
      </c>
      <c r="B72">
        <v>18.2</v>
      </c>
    </row>
    <row r="73" spans="1:2">
      <c r="A73" t="s">
        <v>667</v>
      </c>
      <c r="B73">
        <v>84</v>
      </c>
    </row>
  </sheetData>
  <pageMargins left="0.7" right="0.7" top="0.75" bottom="0.75" header="0.3" footer="0.3"/>
  <pageSetup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2C2C1-95D6-9246-A9EE-2B8B6389D5DA}">
  <dimension ref="A1:AG130"/>
  <sheetViews>
    <sheetView workbookViewId="0"/>
  </sheetViews>
  <sheetFormatPr baseColWidth="10" defaultRowHeight="16"/>
  <cols>
    <col min="32" max="32" width="12.1640625" bestFit="1" customWidth="1"/>
  </cols>
  <sheetData>
    <row r="1" spans="1:32">
      <c r="A1" t="s">
        <v>103</v>
      </c>
      <c r="B1" t="s">
        <v>481</v>
      </c>
      <c r="D1" t="s">
        <v>105</v>
      </c>
      <c r="E1" t="s">
        <v>474</v>
      </c>
      <c r="F1" t="s">
        <v>472</v>
      </c>
      <c r="G1" t="s">
        <v>473</v>
      </c>
      <c r="H1" t="s">
        <v>420</v>
      </c>
      <c r="I1" t="s">
        <v>106</v>
      </c>
      <c r="J1" t="s">
        <v>422</v>
      </c>
      <c r="K1" t="s">
        <v>106</v>
      </c>
      <c r="L1" t="s">
        <v>409</v>
      </c>
      <c r="M1" t="s">
        <v>460</v>
      </c>
      <c r="N1" t="s">
        <v>463</v>
      </c>
      <c r="O1" t="s">
        <v>365</v>
      </c>
      <c r="P1" t="s">
        <v>366</v>
      </c>
      <c r="Q1" t="s">
        <v>367</v>
      </c>
      <c r="R1" t="s">
        <v>368</v>
      </c>
      <c r="S1" t="s">
        <v>369</v>
      </c>
      <c r="T1" t="s">
        <v>470</v>
      </c>
      <c r="U1" t="s">
        <v>11</v>
      </c>
      <c r="V1" t="s">
        <v>932</v>
      </c>
      <c r="W1" t="s">
        <v>136</v>
      </c>
      <c r="X1" t="s">
        <v>471</v>
      </c>
      <c r="Y1" t="s">
        <v>476</v>
      </c>
      <c r="Z1" t="s">
        <v>477</v>
      </c>
      <c r="AA1" t="s">
        <v>931</v>
      </c>
      <c r="AB1" t="s">
        <v>275</v>
      </c>
      <c r="AC1" t="s">
        <v>478</v>
      </c>
      <c r="AD1" t="s">
        <v>22</v>
      </c>
      <c r="AE1" t="s">
        <v>678</v>
      </c>
      <c r="AF1" t="s">
        <v>679</v>
      </c>
    </row>
    <row r="2" spans="1:32">
      <c r="A2" t="s">
        <v>363</v>
      </c>
    </row>
    <row r="3" spans="1:32">
      <c r="A3" t="s">
        <v>483</v>
      </c>
    </row>
    <row r="4" spans="1:32">
      <c r="A4" t="s">
        <v>262</v>
      </c>
      <c r="B4">
        <v>0</v>
      </c>
      <c r="E4">
        <v>0.05</v>
      </c>
      <c r="F4" s="3">
        <f>IF(D4&gt;0,D4*Agriculture!$D$2+Agriculture!$E$16*E4,IF(E4&gt;0,0,Agriculture!$D$2*0.025))</f>
        <v>0</v>
      </c>
      <c r="G4" s="3">
        <f>L4*1/Agriculture!$C$49*Agriculture!$E$16</f>
        <v>784581.50363682734</v>
      </c>
      <c r="K4" s="54">
        <f>IF(I4&gt;0,I4,J4/2000*Conversion!$D$22)</f>
        <v>0</v>
      </c>
      <c r="L4">
        <v>25000</v>
      </c>
      <c r="X4">
        <f t="shared" ref="X4:X15" si="0">IF(N4&gt;0,1,IF(M4&gt;0,FLOOR(365.26/M4,0.1),1))</f>
        <v>1</v>
      </c>
      <c r="Y4" s="3">
        <f>IF(V4&lt;3,IF(K4&gt;0,F4/K4/X4*Conversion!$E$17,0))</f>
        <v>0</v>
      </c>
      <c r="Z4" s="3">
        <f>IF(L4&gt;0,G4/L4/X4*Conversion!$E$17,0)</f>
        <v>313832.60145473096</v>
      </c>
      <c r="AA4" s="3" t="b">
        <f>IF(V4&gt;3,IF(K4&gt;0,F4/K4/X4*Conversion!$E$17,0))</f>
        <v>0</v>
      </c>
      <c r="AB4" s="3">
        <f t="shared" ref="AB4:AB15" si="1">(Y4+Z4)*IF(U4&gt;0,U4,1)</f>
        <v>313832.60145473096</v>
      </c>
      <c r="AC4" s="3">
        <f>(F4*T4)/365.26/Agriculture!$D$2</f>
        <v>0</v>
      </c>
      <c r="AD4" s="4">
        <f>SUM(Y4:Z4)*Conversion!$F$18</f>
        <v>77.551174145478569</v>
      </c>
      <c r="AE4">
        <f>16+12.4+4.6+6</f>
        <v>39</v>
      </c>
      <c r="AF4" s="4">
        <f>X4*AD4*AE4</f>
        <v>3024.4957916736644</v>
      </c>
    </row>
    <row r="5" spans="1:32" ht="18">
      <c r="A5" t="s">
        <v>111</v>
      </c>
      <c r="B5">
        <v>0</v>
      </c>
      <c r="D5">
        <v>100</v>
      </c>
      <c r="F5" s="3">
        <f>IF(D5&gt;0,D5*Agriculture!$D$2+Agriculture!$E$16*E5,IF(E5&gt;0,0,Agriculture!$D$2*0.025))</f>
        <v>195400</v>
      </c>
      <c r="G5" s="3">
        <f>L5*1/Agriculture!$C$49*Agriculture!$E$16</f>
        <v>0</v>
      </c>
      <c r="I5">
        <v>5000</v>
      </c>
      <c r="K5" s="54">
        <f>IF(I5&gt;0,I5,J5/2000*Conversion!$D$22)</f>
        <v>5000</v>
      </c>
      <c r="N5">
        <v>1</v>
      </c>
      <c r="T5" s="67">
        <f t="shared" ref="T5:T15" si="2">(O5*4+R5*4+P5*9+Q5*9)*10</f>
        <v>0</v>
      </c>
      <c r="U5">
        <v>0.6</v>
      </c>
      <c r="V5">
        <v>12</v>
      </c>
      <c r="X5">
        <f t="shared" si="0"/>
        <v>1</v>
      </c>
      <c r="Y5" s="3" t="b">
        <f>IF(V5&lt;5,IF(K5&gt;0,F5/K5/X5*Conversion!$E$17,0))</f>
        <v>0</v>
      </c>
      <c r="Z5" s="3">
        <f>IF(L5&gt;0,G5/L5/X5*Conversion!$E$17,0)</f>
        <v>0</v>
      </c>
      <c r="AA5" s="3">
        <f>IF(V5&gt;5,IF(K5&gt;0,F5/K5/X5*Conversion!$E$17,0))</f>
        <v>390800</v>
      </c>
      <c r="AB5" s="3">
        <f t="shared" si="1"/>
        <v>0</v>
      </c>
      <c r="AC5" s="3">
        <f>(F5*T5)/365.26/Agriculture!$D$2</f>
        <v>0</v>
      </c>
      <c r="AD5" s="4">
        <f>SUM(Y5:Z5)*Conversion!$F$18</f>
        <v>0</v>
      </c>
      <c r="AE5">
        <f t="shared" ref="AE5:AE15" si="3">16+12.4+4.6</f>
        <v>33</v>
      </c>
      <c r="AF5" s="4">
        <f t="shared" ref="AF5:AF71" si="4">X5*AD5*AE5</f>
        <v>0</v>
      </c>
    </row>
    <row r="6" spans="1:32" ht="18">
      <c r="A6" t="s">
        <v>126</v>
      </c>
      <c r="B6">
        <v>0</v>
      </c>
      <c r="D6">
        <v>6</v>
      </c>
      <c r="F6" s="3">
        <f>IF(D6&gt;0,D6*Agriculture!$D$2+Agriculture!$E$16*E6,IF(E6&gt;0,0,Agriculture!$D$2*0.025))</f>
        <v>11724</v>
      </c>
      <c r="G6" s="3">
        <f>L6*1/Agriculture!$C$49*Agriculture!$E$16</f>
        <v>0</v>
      </c>
      <c r="I6">
        <v>1500</v>
      </c>
      <c r="K6" s="54">
        <f>IF(I6&gt;0,I6,J6/2000*Conversion!$D$22)</f>
        <v>1500</v>
      </c>
      <c r="N6">
        <v>1</v>
      </c>
      <c r="T6" s="67">
        <f t="shared" si="2"/>
        <v>0</v>
      </c>
      <c r="U6">
        <v>0.9</v>
      </c>
      <c r="X6">
        <f t="shared" si="0"/>
        <v>1</v>
      </c>
      <c r="Y6" s="3">
        <f>IF(V6&lt;5,IF(K6&gt;0,F6/K6/X6*Conversion!$E$17,0))</f>
        <v>78160</v>
      </c>
      <c r="Z6" s="3">
        <f>IF(L6&gt;0,G6/L6/X6*Conversion!$E$17,0)</f>
        <v>0</v>
      </c>
      <c r="AA6" s="3" t="b">
        <f>IF(V6&gt;5,IF(K6&gt;0,F6/K6/X6*Conversion!$E$17,0))</f>
        <v>0</v>
      </c>
      <c r="AB6" s="3">
        <f t="shared" si="1"/>
        <v>70344</v>
      </c>
      <c r="AC6" s="3">
        <f>(F6*T6)/365.26/Agriculture!$D$2</f>
        <v>0</v>
      </c>
      <c r="AD6" s="4">
        <f>SUM(Y6:Z6)*Conversion!$F$18</f>
        <v>19.314117599999999</v>
      </c>
      <c r="AE6">
        <f t="shared" si="3"/>
        <v>33</v>
      </c>
      <c r="AF6" s="4">
        <f t="shared" si="4"/>
        <v>637.36588080000001</v>
      </c>
    </row>
    <row r="7" spans="1:32" ht="18">
      <c r="A7" t="s">
        <v>127</v>
      </c>
      <c r="B7">
        <v>0</v>
      </c>
      <c r="D7">
        <v>12</v>
      </c>
      <c r="F7" s="3">
        <f>IF(D7&gt;0,D7*Agriculture!$D$2+Agriculture!$E$16*E7,IF(E7&gt;0,0,Agriculture!$D$2*0.025))</f>
        <v>23448</v>
      </c>
      <c r="G7" s="3">
        <f>L7*1/Agriculture!$C$49*Agriculture!$E$16</f>
        <v>0</v>
      </c>
      <c r="I7">
        <v>1250</v>
      </c>
      <c r="K7" s="54">
        <f>IF(I7&gt;0,I7,J7/2000*Conversion!$D$22)</f>
        <v>1250</v>
      </c>
      <c r="N7" s="67">
        <v>1</v>
      </c>
      <c r="T7" s="67">
        <f t="shared" si="2"/>
        <v>0</v>
      </c>
      <c r="U7">
        <v>0.9</v>
      </c>
      <c r="X7">
        <f t="shared" si="0"/>
        <v>1</v>
      </c>
      <c r="Y7" s="3">
        <f>IF(V7&lt;5,IF(K7&gt;0,F7/K7/X7*Conversion!$E$17,0))</f>
        <v>187584.00000000003</v>
      </c>
      <c r="Z7" s="3">
        <f>IF(L7&gt;0,G7/L7/X7*Conversion!$E$17,0)</f>
        <v>0</v>
      </c>
      <c r="AA7" s="3" t="b">
        <f>IF(V7&gt;5,IF(K7&gt;0,F7/K7/X7*Conversion!$E$17,0))</f>
        <v>0</v>
      </c>
      <c r="AB7" s="3">
        <f t="shared" si="1"/>
        <v>168825.60000000003</v>
      </c>
      <c r="AC7" s="3">
        <f>(F7*T7)/365.26/Agriculture!$D$2</f>
        <v>0</v>
      </c>
      <c r="AD7" s="4">
        <f>SUM(Y7:Z7)*Conversion!$F$18</f>
        <v>46.353882240000004</v>
      </c>
      <c r="AE7">
        <f t="shared" si="3"/>
        <v>33</v>
      </c>
      <c r="AF7" s="4">
        <f t="shared" si="4"/>
        <v>1529.6781139200002</v>
      </c>
    </row>
    <row r="8" spans="1:32" ht="18">
      <c r="A8" t="s">
        <v>110</v>
      </c>
      <c r="B8">
        <v>0</v>
      </c>
      <c r="D8">
        <v>40</v>
      </c>
      <c r="F8" s="3">
        <f>IF(D8&gt;0,D8*Agriculture!$D$2+Agriculture!$E$16*E8,IF(E8&gt;0,0,Agriculture!$D$2*0.025))</f>
        <v>78160</v>
      </c>
      <c r="G8" s="3">
        <f>L8*1/Agriculture!$C$49*Agriculture!$E$16</f>
        <v>0</v>
      </c>
      <c r="I8">
        <v>8000</v>
      </c>
      <c r="K8" s="54">
        <f>IF(I8&gt;0,I8,J8/2000*Conversion!$D$22)</f>
        <v>8000</v>
      </c>
      <c r="T8" s="67">
        <f t="shared" si="2"/>
        <v>0</v>
      </c>
      <c r="V8">
        <v>2</v>
      </c>
      <c r="W8">
        <v>1</v>
      </c>
      <c r="X8">
        <f t="shared" si="0"/>
        <v>1</v>
      </c>
      <c r="Y8" s="3">
        <f>IF(V8&lt;5,IF(K8&gt;0,F8/K8/X8*Conversion!$E$17,0))</f>
        <v>97700</v>
      </c>
      <c r="Z8" s="3">
        <f>IF(L8&gt;0,G8/L8/X8*Conversion!$E$17,0)</f>
        <v>0</v>
      </c>
      <c r="AA8" s="3" t="b">
        <f>IF(V8&gt;5,IF(K8&gt;0,F8/K8/X8*Conversion!$E$17,0))</f>
        <v>0</v>
      </c>
      <c r="AB8" s="3">
        <f t="shared" si="1"/>
        <v>97700</v>
      </c>
      <c r="AC8" s="3">
        <f>(F8*T8)/365.26/Agriculture!$D$2</f>
        <v>0</v>
      </c>
      <c r="AD8" s="4">
        <f>SUM(Y8:Z8)*Conversion!$F$18</f>
        <v>24.142646999999997</v>
      </c>
      <c r="AE8">
        <f t="shared" si="3"/>
        <v>33</v>
      </c>
      <c r="AF8" s="4">
        <f t="shared" si="4"/>
        <v>796.7073509999999</v>
      </c>
    </row>
    <row r="9" spans="1:32" ht="18">
      <c r="A9" t="s">
        <v>215</v>
      </c>
      <c r="B9">
        <v>0</v>
      </c>
      <c r="E9">
        <v>0.05</v>
      </c>
      <c r="F9" s="3">
        <f>IF(D9&gt;0,D9*Agriculture!$D$2+Agriculture!$E$16*E9,IF(E9&gt;0,0,Agriculture!$D$2*0.025))</f>
        <v>0</v>
      </c>
      <c r="G9" s="3">
        <f>L9*1/Agriculture!$C$49*Agriculture!$E$16</f>
        <v>376599.12174567714</v>
      </c>
      <c r="I9" s="67"/>
      <c r="J9" s="67"/>
      <c r="K9" s="54"/>
      <c r="L9" s="67">
        <v>12000</v>
      </c>
      <c r="M9" s="67"/>
      <c r="N9" s="67"/>
      <c r="O9" s="66"/>
      <c r="P9" s="66"/>
      <c r="Q9" s="66"/>
      <c r="R9" s="66"/>
      <c r="S9" s="66"/>
      <c r="T9" s="67">
        <f t="shared" si="2"/>
        <v>0</v>
      </c>
      <c r="X9">
        <f t="shared" si="0"/>
        <v>1</v>
      </c>
      <c r="Y9" s="3">
        <f>IF(V9&lt;5,IF(K9&gt;0,F9/K9/X9*Conversion!$E$17,0))</f>
        <v>0</v>
      </c>
      <c r="Z9" s="3">
        <f>IF(L9&gt;0,G9/L9/X9*Conversion!$E$17,0)</f>
        <v>313832.60145473096</v>
      </c>
      <c r="AA9" s="3" t="b">
        <f>IF(V9&gt;5,IF(K9&gt;0,F9/K9/X9*Conversion!$E$17,0))</f>
        <v>0</v>
      </c>
      <c r="AB9" s="3">
        <f t="shared" si="1"/>
        <v>313832.60145473096</v>
      </c>
      <c r="AC9" s="3">
        <f>(F9*T9)/365.26/Agriculture!$D$2</f>
        <v>0</v>
      </c>
      <c r="AD9" s="4">
        <f>SUM(Y9:Z9)*Conversion!$F$18</f>
        <v>77.551174145478569</v>
      </c>
      <c r="AE9">
        <f>16+12.4+4.6+6</f>
        <v>39</v>
      </c>
      <c r="AF9" s="4">
        <f t="shared" si="4"/>
        <v>3024.4957916736644</v>
      </c>
    </row>
    <row r="10" spans="1:32" ht="18">
      <c r="A10" t="s">
        <v>759</v>
      </c>
      <c r="D10">
        <v>20</v>
      </c>
      <c r="F10" s="3">
        <f>IF(D10&gt;0,D10*Agriculture!$D$2+Agriculture!$E$16*E10,IF(E10&gt;0,0,Agriculture!$D$2*0.025))</f>
        <v>39080</v>
      </c>
      <c r="G10" s="3">
        <f>L10*1/Agriculture!$C$49*Agriculture!$E$16</f>
        <v>0</v>
      </c>
      <c r="I10" s="67">
        <v>2400</v>
      </c>
      <c r="J10" s="67"/>
      <c r="K10" s="54">
        <v>2400</v>
      </c>
      <c r="L10" s="67"/>
      <c r="M10" s="67"/>
      <c r="N10" s="67"/>
      <c r="O10" s="66"/>
      <c r="P10" s="66"/>
      <c r="Q10" s="66"/>
      <c r="R10" s="66"/>
      <c r="S10" s="66"/>
      <c r="T10" s="67"/>
      <c r="X10">
        <f t="shared" ref="X10" si="5">IF(N10&gt;0,1,IF(M10&gt;0,FLOOR(365.26/M10,0.1),1))</f>
        <v>1</v>
      </c>
      <c r="Y10" s="3">
        <f>IF(V10&lt;5,IF(K10&gt;0,F10/K10/X10*Conversion!$E$17,0))</f>
        <v>162833.33333333334</v>
      </c>
      <c r="Z10" s="3">
        <f>IF(L10&gt;0,G10/L10/X10*Conversion!$E$17,0)</f>
        <v>0</v>
      </c>
      <c r="AA10" s="3" t="b">
        <f>IF(V10&gt;5,IF(K10&gt;0,F10/K10/X10*Conversion!$E$17,0))</f>
        <v>0</v>
      </c>
      <c r="AB10" s="3">
        <f t="shared" ref="AB10" si="6">(Y10+Z10)*IF(U10&gt;0,U10,1)</f>
        <v>162833.33333333334</v>
      </c>
      <c r="AC10" s="3">
        <f>(F10*T10)/365.26/Agriculture!$D$2</f>
        <v>0</v>
      </c>
      <c r="AD10" s="4">
        <f>SUM(Y10:Z10)*Conversion!$F$18</f>
        <v>40.237744999999997</v>
      </c>
      <c r="AE10">
        <f t="shared" si="3"/>
        <v>33</v>
      </c>
      <c r="AF10" s="4">
        <f t="shared" ref="AF10" si="7">X10*AD10*AE10</f>
        <v>1327.8455849999998</v>
      </c>
    </row>
    <row r="11" spans="1:32" ht="18">
      <c r="A11" t="s">
        <v>445</v>
      </c>
      <c r="B11">
        <v>0</v>
      </c>
      <c r="D11">
        <v>0.1</v>
      </c>
      <c r="F11" s="3">
        <f>IF(D11&gt;0,D11*Agriculture!$D$2+Agriculture!$E$16*E11,IF(E11&gt;0,0,Agriculture!$D$2*0.025))</f>
        <v>195.4</v>
      </c>
      <c r="G11" s="3">
        <f>L11*1/Agriculture!$C$49*Agriculture!$E$16</f>
        <v>0</v>
      </c>
      <c r="I11">
        <v>390</v>
      </c>
      <c r="K11" s="54">
        <f>IF(I11&gt;0,I11,J11/2000*Conversion!$D$22)</f>
        <v>390</v>
      </c>
      <c r="M11">
        <v>150</v>
      </c>
      <c r="T11" s="67">
        <f t="shared" si="2"/>
        <v>0</v>
      </c>
      <c r="U11">
        <v>0.5</v>
      </c>
      <c r="W11">
        <v>1</v>
      </c>
      <c r="X11">
        <f t="shared" si="0"/>
        <v>2.4000000000000004</v>
      </c>
      <c r="Y11" s="3">
        <f>IF(V11&lt;5,IF(K11&gt;0,F11/K11/X11*Conversion!$E$17,0))</f>
        <v>2087.6068376068374</v>
      </c>
      <c r="Z11" s="3">
        <f>IF(L11&gt;0,G11/L11/X11*Conversion!$E$17,0)</f>
        <v>0</v>
      </c>
      <c r="AA11" s="3" t="b">
        <f>IF(V11&gt;5,IF(K11&gt;0,F11/K11/X11*Conversion!$E$17,0))</f>
        <v>0</v>
      </c>
      <c r="AB11" s="3">
        <f t="shared" si="1"/>
        <v>1043.8034188034187</v>
      </c>
      <c r="AC11" s="3">
        <f>(F11*T11)/365.26/Agriculture!$D$2</f>
        <v>0</v>
      </c>
      <c r="AD11" s="4">
        <f>SUM(Y11:Z11)*Conversion!$F$18</f>
        <v>0.51586852564102559</v>
      </c>
      <c r="AE11">
        <f t="shared" si="3"/>
        <v>33</v>
      </c>
      <c r="AF11" s="4">
        <f t="shared" si="4"/>
        <v>40.856787230769235</v>
      </c>
    </row>
    <row r="12" spans="1:32" ht="18">
      <c r="A12" t="s">
        <v>933</v>
      </c>
      <c r="F12" s="3"/>
      <c r="G12" s="3"/>
      <c r="K12" s="54"/>
      <c r="T12" s="67"/>
      <c r="Y12" s="3"/>
      <c r="Z12" s="3"/>
      <c r="AA12" s="3"/>
      <c r="AB12" s="3"/>
      <c r="AC12" s="3"/>
      <c r="AD12" s="4"/>
      <c r="AF12" s="4"/>
    </row>
    <row r="13" spans="1:32" ht="18">
      <c r="A13" t="s">
        <v>128</v>
      </c>
      <c r="B13">
        <v>0</v>
      </c>
      <c r="D13">
        <v>2</v>
      </c>
      <c r="F13" s="3">
        <f>IF(D13&gt;0,D13*Agriculture!$D$2+Agriculture!$E$16*E13,IF(E13&gt;0,0,Agriculture!$D$2*0.025))</f>
        <v>3908</v>
      </c>
      <c r="G13" s="3">
        <f>L13*1/Agriculture!$C$49*Agriculture!$E$16</f>
        <v>0</v>
      </c>
      <c r="I13">
        <v>1650</v>
      </c>
      <c r="K13" s="54">
        <f>IF(I13&gt;0,I13,J13/2000*Conversion!$D$22)</f>
        <v>1650</v>
      </c>
      <c r="T13" s="67">
        <f t="shared" si="2"/>
        <v>0</v>
      </c>
      <c r="U13">
        <v>0.5</v>
      </c>
      <c r="W13">
        <v>1</v>
      </c>
      <c r="X13">
        <f t="shared" si="0"/>
        <v>1</v>
      </c>
      <c r="Y13" s="3">
        <f>IF(V13&lt;5,IF(K13&gt;0,F13/K13/X13*Conversion!$E$17,0))</f>
        <v>23684.848484848488</v>
      </c>
      <c r="Z13" s="3">
        <f>IF(L13&gt;0,G13/L13/X13*Conversion!$E$17,0)</f>
        <v>0</v>
      </c>
      <c r="AA13" s="3" t="b">
        <f>IF(V13&gt;5,IF(K13&gt;0,F13/K13/X13*Conversion!$E$17,0))</f>
        <v>0</v>
      </c>
      <c r="AB13" s="3">
        <f t="shared" si="1"/>
        <v>11842.424242424244</v>
      </c>
      <c r="AC13" s="3">
        <f>(F13*T13)/365.26/Agriculture!$D$2</f>
        <v>0</v>
      </c>
      <c r="AD13" s="4">
        <f>SUM(Y13:Z13)*Conversion!$F$18</f>
        <v>5.8527629090909095</v>
      </c>
      <c r="AE13">
        <f t="shared" si="3"/>
        <v>33</v>
      </c>
      <c r="AF13" s="4">
        <f t="shared" si="4"/>
        <v>193.141176</v>
      </c>
    </row>
    <row r="14" spans="1:32" ht="18">
      <c r="A14" t="s">
        <v>933</v>
      </c>
      <c r="B14">
        <v>0</v>
      </c>
      <c r="D14">
        <v>200</v>
      </c>
      <c r="F14" s="3">
        <f>IF(D14&gt;0,D14*Agriculture!$D$2+Agriculture!$E$16*E14,IF(E14&gt;0,0,Agriculture!$D$2*0.025))</f>
        <v>390800</v>
      </c>
      <c r="G14" s="3">
        <f>L14*1/Agriculture!$C$49*Agriculture!$E$16</f>
        <v>0</v>
      </c>
      <c r="I14">
        <v>20000</v>
      </c>
      <c r="K14" s="54">
        <f>IF(I14&gt;0,I14,J14/2000*Conversion!$D$22)</f>
        <v>20000</v>
      </c>
      <c r="N14">
        <v>1</v>
      </c>
      <c r="T14" s="67">
        <f t="shared" ref="T14" si="8">(O14*4+R14*4+P14*9+Q14*9)*10</f>
        <v>0</v>
      </c>
      <c r="U14">
        <v>0.6</v>
      </c>
      <c r="V14">
        <v>12</v>
      </c>
      <c r="X14">
        <f>1/20</f>
        <v>0.05</v>
      </c>
      <c r="Y14" s="3" t="b">
        <f>IF(V14&lt;5,IF(K14&gt;0,F14/K14/X14*Conversion!$E$17,0))</f>
        <v>0</v>
      </c>
      <c r="Z14" s="3">
        <f>IF(L14&gt;0,G14/L14/X14*Conversion!$E$17,0)</f>
        <v>0</v>
      </c>
      <c r="AA14" s="3">
        <f>IF(V14&gt;5,IF(K14&gt;0,F14/K14/X14*Conversion!$E$17,0))</f>
        <v>3907999.9999999995</v>
      </c>
      <c r="AB14" s="3">
        <f t="shared" ref="AB14" si="9">(Y14+Z14)*IF(U14&gt;0,U14,1)</f>
        <v>0</v>
      </c>
      <c r="AC14" s="3">
        <f>(F14*T14)/365.26/Agriculture!$D$2</f>
        <v>0</v>
      </c>
      <c r="AD14" s="4">
        <f>SUM(Y14:Z14)*Conversion!$F$18</f>
        <v>0</v>
      </c>
      <c r="AE14">
        <f t="shared" si="3"/>
        <v>33</v>
      </c>
      <c r="AF14" s="4">
        <f t="shared" ref="AF14" si="10">X14*AD14*AE14</f>
        <v>0</v>
      </c>
    </row>
    <row r="15" spans="1:32" ht="18">
      <c r="A15" t="s">
        <v>410</v>
      </c>
      <c r="B15">
        <v>0</v>
      </c>
      <c r="F15" s="3">
        <f>IF(D15&gt;0,D15*Agriculture!$D$2+Agriculture!$E$16*E15,IF(E15&gt;0,0,Agriculture!$D$2*0.025))</f>
        <v>48.85</v>
      </c>
      <c r="G15" s="3">
        <f>L15*1/Agriculture!$C$49*Agriculture!$E$16</f>
        <v>809688.11175320565</v>
      </c>
      <c r="J15">
        <v>12000</v>
      </c>
      <c r="K15" s="54">
        <f>IF(I15&gt;0,I15,J15/2000*Conversion!$D$22)</f>
        <v>13450.21386</v>
      </c>
      <c r="L15">
        <v>25800</v>
      </c>
      <c r="O15" s="66"/>
      <c r="P15" s="66"/>
      <c r="Q15" s="66"/>
      <c r="R15" s="66"/>
      <c r="S15" s="66"/>
      <c r="T15" s="67">
        <f t="shared" si="2"/>
        <v>0</v>
      </c>
      <c r="X15">
        <f t="shared" si="0"/>
        <v>1</v>
      </c>
      <c r="Y15" s="3">
        <f>IF(V15&lt;5,IF(K15&gt;0,F15/K15/X15*Conversion!$E$17,0))</f>
        <v>36.319125114639633</v>
      </c>
      <c r="Z15" s="3">
        <f>IF(L15&gt;0,G15/L15/X15*Conversion!$E$17,0)</f>
        <v>313832.6014547309</v>
      </c>
      <c r="AA15" s="3" t="b">
        <f>IF(V15&gt;5,IF(K15&gt;0,F15/K15/X15*Conversion!$E$17,0))</f>
        <v>0</v>
      </c>
      <c r="AB15" s="3">
        <f t="shared" si="1"/>
        <v>313868.92057984555</v>
      </c>
      <c r="AC15" s="3">
        <f>(F15*T15)/365.26/Agriculture!$D$2</f>
        <v>0</v>
      </c>
      <c r="AD15" s="4">
        <f>SUM(Y15:Z15)*Conversion!$F$18</f>
        <v>77.560148964485634</v>
      </c>
      <c r="AE15">
        <f t="shared" si="3"/>
        <v>33</v>
      </c>
      <c r="AF15" s="4">
        <f t="shared" si="4"/>
        <v>2559.4849158280258</v>
      </c>
    </row>
    <row r="16" spans="1:32" ht="18">
      <c r="F16" s="3"/>
      <c r="G16" s="3"/>
      <c r="K16" s="54"/>
      <c r="O16" s="66"/>
      <c r="P16" s="66"/>
      <c r="Q16" s="66"/>
      <c r="R16" s="66"/>
      <c r="S16" s="66"/>
      <c r="T16" s="67"/>
      <c r="Y16" s="3"/>
      <c r="Z16" s="3"/>
      <c r="AA16" s="3"/>
      <c r="AB16" s="3"/>
      <c r="AC16" s="3"/>
      <c r="AD16" s="4">
        <f>SUM(Y16:Z16)*Conversion!$F$18</f>
        <v>0</v>
      </c>
      <c r="AF16" s="4">
        <f t="shared" si="4"/>
        <v>0</v>
      </c>
    </row>
    <row r="17" spans="1:32" ht="18">
      <c r="A17" t="str">
        <f>Agriculture!B25</f>
        <v>Sugar</v>
      </c>
      <c r="C17">
        <f>SUM(C18:C19)</f>
        <v>1</v>
      </c>
      <c r="D17">
        <f>Agriculture!G25</f>
        <v>37.290497674418603</v>
      </c>
      <c r="F17" s="3"/>
      <c r="G17" s="3"/>
      <c r="K17" s="54"/>
      <c r="O17" s="66"/>
      <c r="P17" s="66"/>
      <c r="Q17" s="66"/>
      <c r="R17" s="66"/>
      <c r="S17" s="66"/>
      <c r="T17" s="67"/>
      <c r="Y17" s="3"/>
      <c r="Z17" s="3"/>
      <c r="AA17" s="3"/>
      <c r="AB17" s="3"/>
      <c r="AC17" s="3"/>
      <c r="AD17" s="4">
        <f>SUM(Y17:Z17)*Conversion!$F$18</f>
        <v>0</v>
      </c>
      <c r="AF17" s="4">
        <f t="shared" si="4"/>
        <v>0</v>
      </c>
    </row>
    <row r="18" spans="1:32" ht="18">
      <c r="A18" t="s">
        <v>274</v>
      </c>
      <c r="B18">
        <v>2</v>
      </c>
      <c r="C18">
        <v>1</v>
      </c>
      <c r="D18">
        <f>$D$17*C18/$C$17</f>
        <v>37.290497674418603</v>
      </c>
      <c r="F18" s="3">
        <f>IF(D18&gt;0,D18*Agriculture!$D$2+Agriculture!$E$16*E18,IF(E18&gt;0,0,Agriculture!$D$2*0.025))</f>
        <v>72865.632455813946</v>
      </c>
      <c r="G18" s="3">
        <f>L18*1/Agriculture!$C$49*Agriculture!$E$16</f>
        <v>0</v>
      </c>
      <c r="H18" t="s">
        <v>421</v>
      </c>
      <c r="I18">
        <v>9339</v>
      </c>
      <c r="K18" s="54">
        <f>IF(I18&gt;0,I18,J18/2000*Conversion!$D$22)</f>
        <v>9339</v>
      </c>
      <c r="O18" s="66">
        <v>0</v>
      </c>
      <c r="P18" s="66">
        <v>0</v>
      </c>
      <c r="Q18" s="66">
        <v>0</v>
      </c>
      <c r="R18" s="66">
        <v>99.98</v>
      </c>
      <c r="S18" s="66">
        <v>3634</v>
      </c>
      <c r="T18" s="67">
        <f>(O18*4+R18*4+P18*9+Q18*9)*10</f>
        <v>3999.2000000000003</v>
      </c>
      <c r="X18">
        <f>IF(N18&gt;0,1,IF(M18&gt;0,FLOOR(365.26/M18,0.1),1))</f>
        <v>1</v>
      </c>
      <c r="Y18" s="3">
        <f>IF(V18&lt;5,IF(K18&gt;0,F18/K18/X18*Conversion!$E$17,0))</f>
        <v>78022.949411943395</v>
      </c>
      <c r="Z18" s="3">
        <f>IF(L18&gt;0,G18/L18/X18*Conversion!$E$17,0)</f>
        <v>0</v>
      </c>
      <c r="AA18" s="3" t="b">
        <f>IF(V18&gt;5,IF(K18&gt;0,F18/K18/X18*Conversion!$E$17,0))</f>
        <v>0</v>
      </c>
      <c r="AB18" s="3">
        <f>(Y18+Z18)*IF(U18&gt;0,U18,1)</f>
        <v>78022.949411943395</v>
      </c>
      <c r="AC18" s="3">
        <f>(F18*T18)/365.26/Agriculture!$D$2</f>
        <v>408.29041860465117</v>
      </c>
      <c r="AD18" s="4">
        <f>SUM(Y18:Z18)*Conversion!$F$18</f>
        <v>19.28025102918533</v>
      </c>
      <c r="AE18">
        <f t="shared" ref="AE18" si="11">16+12.4+4.6</f>
        <v>33</v>
      </c>
      <c r="AF18" s="4">
        <f t="shared" si="4"/>
        <v>636.24828396311591</v>
      </c>
    </row>
    <row r="19" spans="1:32" ht="18">
      <c r="A19" t="s">
        <v>397</v>
      </c>
      <c r="B19">
        <v>2</v>
      </c>
      <c r="C19">
        <v>0</v>
      </c>
      <c r="D19">
        <f>$D$17*C19/$C$17</f>
        <v>0</v>
      </c>
      <c r="F19" s="3">
        <f>IF(D19&gt;0,D19*Agriculture!$D$2+Agriculture!$E$16*E19,IF(E19&gt;0,0,Agriculture!$D$2*0.025))</f>
        <v>48.85</v>
      </c>
      <c r="G19" s="3">
        <f>L19*1/Agriculture!$C$49*Agriculture!$E$16</f>
        <v>0</v>
      </c>
      <c r="H19" t="s">
        <v>421</v>
      </c>
      <c r="I19">
        <v>7151</v>
      </c>
      <c r="K19" s="54">
        <f>IF(I19&gt;0,I19,J19/2000*Conversion!$D$22)</f>
        <v>7151</v>
      </c>
      <c r="O19" s="66">
        <v>0</v>
      </c>
      <c r="P19" s="66">
        <v>0</v>
      </c>
      <c r="Q19" s="66">
        <v>0</v>
      </c>
      <c r="R19" s="66">
        <v>99.98</v>
      </c>
      <c r="S19" s="66">
        <v>2781</v>
      </c>
      <c r="T19" s="67">
        <f>(O19*4+R19*4+P19*9+Q19*9)*10</f>
        <v>3999.2000000000003</v>
      </c>
      <c r="X19">
        <f>IF(N19&gt;0,1,IF(M19&gt;0,FLOOR(365.26/M19,0.1),1))</f>
        <v>1</v>
      </c>
      <c r="Y19" s="3">
        <f>IF(V19&lt;5,IF(K19&gt;0,F19/K19/X19*Conversion!$E$17,0))</f>
        <v>68.312124178436591</v>
      </c>
      <c r="Z19" s="3">
        <f>IF(L19&gt;0,G19/L19/X19*Conversion!$E$17,0)</f>
        <v>0</v>
      </c>
      <c r="AA19" s="3" t="b">
        <f>IF(V19&gt;5,IF(K19&gt;0,F19/K19/X19*Conversion!$E$17,0))</f>
        <v>0</v>
      </c>
      <c r="AB19" s="3">
        <f>(Y19+Z19)*IF(U19&gt;0,U19,1)</f>
        <v>68.312124178436591</v>
      </c>
      <c r="AC19" s="3">
        <f>(F19*T19)/365.26/Agriculture!$D$2</f>
        <v>0.27372282757487815</v>
      </c>
      <c r="AD19" s="4">
        <f>SUM(Y19:Z19)*Conversion!$F$18</f>
        <v>1.6880609005733464E-2</v>
      </c>
      <c r="AE19">
        <f>16+6+10.5</f>
        <v>32.5</v>
      </c>
      <c r="AF19" s="4">
        <f t="shared" si="4"/>
        <v>0.54861979268633754</v>
      </c>
    </row>
    <row r="20" spans="1:32" ht="18">
      <c r="F20" s="3"/>
      <c r="G20" s="3"/>
      <c r="K20" s="54"/>
      <c r="O20" s="66"/>
      <c r="P20" s="66"/>
      <c r="Q20" s="66"/>
      <c r="R20" s="66"/>
      <c r="S20" s="66"/>
      <c r="T20" s="67"/>
      <c r="Y20" s="3"/>
      <c r="Z20" s="3"/>
      <c r="AA20" s="3"/>
      <c r="AB20" s="3"/>
      <c r="AC20" s="3"/>
      <c r="AD20" s="4">
        <f>SUM(Y20:Z20)*Conversion!$F$18</f>
        <v>0</v>
      </c>
      <c r="AF20" s="4">
        <f t="shared" si="4"/>
        <v>0</v>
      </c>
    </row>
    <row r="21" spans="1:32" ht="18">
      <c r="A21" t="str">
        <f>Agriculture!B26</f>
        <v>Oil &amp; Fats</v>
      </c>
      <c r="C21">
        <f>SUM(C22:C44)</f>
        <v>4.9999999999999982</v>
      </c>
      <c r="D21">
        <f>Agriculture!G26</f>
        <v>28.855690250925544</v>
      </c>
      <c r="F21" s="3"/>
      <c r="G21" s="3"/>
      <c r="K21" s="54"/>
      <c r="O21" s="66"/>
      <c r="P21" s="66"/>
      <c r="Q21" s="66"/>
      <c r="R21" s="66"/>
      <c r="S21" s="66"/>
      <c r="T21" s="67"/>
      <c r="Y21" s="3"/>
      <c r="Z21" s="3"/>
      <c r="AA21" s="3"/>
      <c r="AB21" s="3"/>
      <c r="AC21" s="3"/>
      <c r="AD21" s="4">
        <f>SUM(Y21:Z21)*Conversion!$F$18</f>
        <v>0</v>
      </c>
      <c r="AF21" s="4">
        <f t="shared" si="4"/>
        <v>0</v>
      </c>
    </row>
    <row r="22" spans="1:32">
      <c r="A22" t="s">
        <v>423</v>
      </c>
      <c r="B22">
        <v>3</v>
      </c>
      <c r="C22">
        <v>0.2</v>
      </c>
      <c r="D22">
        <f>$D$21*C22/$C$21</f>
        <v>1.1542276100370221</v>
      </c>
      <c r="F22" s="3">
        <f>IF(D22&gt;0,D22*Agriculture!$D$2+Agriculture!$E$16*E22,IF(E22&gt;0,0,Agriculture!$D$2*0.025))</f>
        <v>2255.3607500123412</v>
      </c>
      <c r="G22" s="3">
        <f>L22*1/Agriculture!$C$49*Agriculture!$E$16</f>
        <v>0</v>
      </c>
      <c r="J22">
        <v>1150</v>
      </c>
      <c r="K22" s="54">
        <f>IF(I22&gt;0,I22,J22/2000*Conversion!$D$22)</f>
        <v>1288.9788282499999</v>
      </c>
      <c r="N22">
        <v>1</v>
      </c>
      <c r="V22">
        <v>3</v>
      </c>
      <c r="X22">
        <f t="shared" ref="X22:X44" si="12">IF(N22&gt;0,1,IF(M22&gt;0,FLOOR(365.26/M22,0.1),1))</f>
        <v>1</v>
      </c>
      <c r="Y22" s="3">
        <f>IF(V22&lt;5,IF(K22&gt;0,F22/K22/X22*Conversion!$E$17,0))</f>
        <v>17497.2676089208</v>
      </c>
      <c r="Z22" s="3">
        <f>IF(L22&gt;0,G22/L22/X22*Conversion!$E$17,0)</f>
        <v>0</v>
      </c>
      <c r="AA22" s="3" t="b">
        <f>IF(V22&gt;5,IF(K22&gt;0,F22/K22/X22*Conversion!$E$17,0))</f>
        <v>0</v>
      </c>
      <c r="AB22" s="3">
        <f t="shared" ref="AB22:AB44" si="13">(Y22+Z22)*IF(U22&gt;0,U22,1)</f>
        <v>17497.2676089208</v>
      </c>
      <c r="AC22" s="3">
        <f>(F22*T22)/365.26/Agriculture!$D$2</f>
        <v>0</v>
      </c>
      <c r="AD22" s="4">
        <f>SUM(Y22:Z22)*Conversion!$F$18</f>
        <v>4.323749798840419</v>
      </c>
      <c r="AE22">
        <f>1.5+9.4+3.9</f>
        <v>14.8</v>
      </c>
      <c r="AF22" s="4">
        <f t="shared" si="4"/>
        <v>63.991497022838203</v>
      </c>
    </row>
    <row r="23" spans="1:32" ht="18">
      <c r="A23" t="s">
        <v>419</v>
      </c>
      <c r="B23">
        <v>3</v>
      </c>
      <c r="C23">
        <v>1</v>
      </c>
      <c r="D23">
        <f t="shared" ref="D23:D44" si="14">$D$21*C23/$C$21</f>
        <v>5.7711380501851108</v>
      </c>
      <c r="F23" s="3">
        <f>IF(D23&gt;0,D23*Agriculture!$D$2+Agriculture!$E$16*E23,IF(E23&gt;0,0,Agriculture!$D$2*0.025))</f>
        <v>11276.803750061707</v>
      </c>
      <c r="G23" s="3">
        <f>L23*1/Agriculture!$C$49*Agriculture!$E$16</f>
        <v>0</v>
      </c>
      <c r="I23" s="54"/>
      <c r="J23">
        <v>3680</v>
      </c>
      <c r="K23" s="54">
        <f>IF(I23&gt;0,I23,J23/2000*Conversion!$D$22)</f>
        <v>4124.7322504000003</v>
      </c>
      <c r="N23">
        <v>1</v>
      </c>
      <c r="T23" s="67">
        <f t="shared" ref="T23:T44" si="15">(O23*4+R23*4+P23*9+Q23*9)*10</f>
        <v>0</v>
      </c>
      <c r="V23">
        <v>12</v>
      </c>
      <c r="X23">
        <f t="shared" si="12"/>
        <v>1</v>
      </c>
      <c r="Y23" s="3" t="b">
        <f>IF(V23&lt;5,IF(K23&gt;0,F23/K23/X23*Conversion!$E$17,0))</f>
        <v>0</v>
      </c>
      <c r="Z23" s="3">
        <f>IF(L23&gt;0,G23/L23/X23*Conversion!$E$17,0)</f>
        <v>0</v>
      </c>
      <c r="AA23" s="3">
        <f>IF(V23&gt;5,IF(K23&gt;0,F23/K23/X23*Conversion!$E$17,0))</f>
        <v>27339.480638938749</v>
      </c>
      <c r="AB23" s="3">
        <f t="shared" si="13"/>
        <v>0</v>
      </c>
      <c r="AC23" s="3">
        <f>(F23*T23)/365.26/Agriculture!$D$2</f>
        <v>0</v>
      </c>
      <c r="AD23" s="4">
        <f>SUM(Y23:Z23)*Conversion!$F$18</f>
        <v>0</v>
      </c>
      <c r="AE23">
        <f t="shared" ref="AE23:AE86" si="16">1.5+9.4+3.9</f>
        <v>14.8</v>
      </c>
      <c r="AF23" s="4">
        <f t="shared" si="4"/>
        <v>0</v>
      </c>
    </row>
    <row r="24" spans="1:32" ht="18">
      <c r="A24" t="s">
        <v>371</v>
      </c>
      <c r="B24">
        <v>3</v>
      </c>
      <c r="C24">
        <v>0</v>
      </c>
      <c r="D24">
        <f t="shared" si="14"/>
        <v>0</v>
      </c>
      <c r="F24" s="3">
        <f>IF(D24&gt;0,D24*Agriculture!$D$2+Agriculture!$E$16*E24,IF(E24&gt;0,0,Agriculture!$D$2*0.025))</f>
        <v>48.85</v>
      </c>
      <c r="G24" s="3">
        <f>L24*1/Agriculture!$C$49*Agriculture!$E$16</f>
        <v>0</v>
      </c>
      <c r="H24" t="s">
        <v>421</v>
      </c>
      <c r="I24" s="67">
        <v>3370</v>
      </c>
      <c r="J24" s="67"/>
      <c r="K24" s="54">
        <f>IF(I24&gt;0,I24,J24/2000*Conversion!$D$22)</f>
        <v>3370</v>
      </c>
      <c r="L24" s="67"/>
      <c r="M24" s="67"/>
      <c r="N24" s="67"/>
      <c r="O24" s="66">
        <v>27</v>
      </c>
      <c r="P24" s="66">
        <v>34</v>
      </c>
      <c r="Q24" s="66">
        <v>53</v>
      </c>
      <c r="R24" s="66">
        <v>30</v>
      </c>
      <c r="S24" s="67">
        <v>1747</v>
      </c>
      <c r="T24" s="67">
        <f t="shared" si="15"/>
        <v>10110</v>
      </c>
      <c r="X24">
        <f t="shared" si="12"/>
        <v>1</v>
      </c>
      <c r="Y24" s="3">
        <f>IF(V24&lt;5,IF(K24&gt;0,F24/K24/X24*Conversion!$E$17,0))</f>
        <v>144.95548961424333</v>
      </c>
      <c r="Z24" s="3">
        <f>IF(L24&gt;0,G24/L24/X24*Conversion!$E$17,0)</f>
        <v>0</v>
      </c>
      <c r="AA24" s="3" t="b">
        <f>IF(V24&gt;5,IF(K24&gt;0,F24/K24/X24*Conversion!$E$17,0))</f>
        <v>0</v>
      </c>
      <c r="AB24" s="3">
        <f t="shared" si="13"/>
        <v>144.95548961424333</v>
      </c>
      <c r="AC24" s="3">
        <f>(F24*T24)/365.26/Agriculture!$D$2</f>
        <v>0.69197284126375735</v>
      </c>
      <c r="AD24" s="4">
        <f>SUM(Y24:Z24)*Conversion!$F$18</f>
        <v>3.5819951038575666E-2</v>
      </c>
      <c r="AE24">
        <f t="shared" si="16"/>
        <v>14.8</v>
      </c>
      <c r="AF24" s="4">
        <f t="shared" si="4"/>
        <v>0.53013527537091987</v>
      </c>
    </row>
    <row r="25" spans="1:32" ht="18">
      <c r="A25" t="s">
        <v>372</v>
      </c>
      <c r="B25">
        <v>3</v>
      </c>
      <c r="C25">
        <v>0</v>
      </c>
      <c r="D25">
        <f t="shared" si="14"/>
        <v>0</v>
      </c>
      <c r="F25" s="3">
        <f>IF(D25&gt;0,D25*Agriculture!$D$2+Agriculture!$E$16*E25,IF(E25&gt;0,0,Agriculture!$D$2*0.025))</f>
        <v>48.85</v>
      </c>
      <c r="G25" s="3">
        <f>L25*1/Agriculture!$C$49*Agriculture!$E$16</f>
        <v>0</v>
      </c>
      <c r="H25" t="s">
        <v>421</v>
      </c>
      <c r="I25" s="67">
        <v>1500</v>
      </c>
      <c r="J25" s="67"/>
      <c r="K25" s="54">
        <f>IF(I25&gt;0,I25,J25/2000*Conversion!$D$22)</f>
        <v>1500</v>
      </c>
      <c r="L25" s="67"/>
      <c r="M25" s="67"/>
      <c r="N25" s="67"/>
      <c r="O25" s="66">
        <v>15.62</v>
      </c>
      <c r="P25" s="66">
        <v>30.75</v>
      </c>
      <c r="Q25" s="66">
        <v>76</v>
      </c>
      <c r="R25" s="66">
        <v>43.85</v>
      </c>
      <c r="S25" s="66">
        <v>751</v>
      </c>
      <c r="T25" s="67">
        <f t="shared" si="15"/>
        <v>11986.300000000001</v>
      </c>
      <c r="X25">
        <f t="shared" si="12"/>
        <v>1</v>
      </c>
      <c r="Y25" s="3">
        <f>IF(V25&lt;5,IF(K25&gt;0,F25/K25/X25*Conversion!$E$17,0))</f>
        <v>325.66666666666669</v>
      </c>
      <c r="Z25" s="3">
        <f>IF(L25&gt;0,G25/L25/X25*Conversion!$E$17,0)</f>
        <v>0</v>
      </c>
      <c r="AA25" s="3" t="b">
        <f>IF(V25&gt;5,IF(K25&gt;0,F25/K25/X25*Conversion!$E$17,0))</f>
        <v>0</v>
      </c>
      <c r="AB25" s="3">
        <f t="shared" si="13"/>
        <v>325.66666666666669</v>
      </c>
      <c r="AC25" s="3">
        <f>(F25*T25)/365.26/Agriculture!$D$2</f>
        <v>0.82039506105240123</v>
      </c>
      <c r="AD25" s="4">
        <f>SUM(Y25:Z25)*Conversion!$F$18</f>
        <v>8.0475489999999997E-2</v>
      </c>
      <c r="AE25">
        <f t="shared" si="16"/>
        <v>14.8</v>
      </c>
      <c r="AF25" s="4">
        <f t="shared" si="4"/>
        <v>1.1910372520000001</v>
      </c>
    </row>
    <row r="26" spans="1:32" ht="18">
      <c r="A26" t="s">
        <v>458</v>
      </c>
      <c r="B26">
        <v>3</v>
      </c>
      <c r="C26">
        <v>0</v>
      </c>
      <c r="D26">
        <f t="shared" si="14"/>
        <v>0</v>
      </c>
      <c r="F26" s="3">
        <f>IF(D26&gt;0,D26*Agriculture!$D$2+Agriculture!$E$16*E26,IF(E26&gt;0,0,Agriculture!$D$2*0.025))</f>
        <v>48.85</v>
      </c>
      <c r="G26" s="3">
        <f>L26*1/Agriculture!$C$49*Agriculture!$E$16</f>
        <v>0</v>
      </c>
      <c r="H26" t="s">
        <v>421</v>
      </c>
      <c r="I26">
        <v>8000</v>
      </c>
      <c r="K26" s="54">
        <f>IF(I26&gt;0,I26,J26/2000*Conversion!$D$22)</f>
        <v>8000</v>
      </c>
      <c r="O26" s="66">
        <v>8.6</v>
      </c>
      <c r="P26" s="66">
        <v>21.8</v>
      </c>
      <c r="Q26" s="66">
        <v>9.1999999999999993</v>
      </c>
      <c r="R26" s="66">
        <v>48</v>
      </c>
      <c r="S26" s="67">
        <v>3290</v>
      </c>
      <c r="T26" s="67">
        <f t="shared" si="15"/>
        <v>5054</v>
      </c>
      <c r="W26">
        <v>1</v>
      </c>
      <c r="X26">
        <f t="shared" si="12"/>
        <v>1</v>
      </c>
      <c r="Y26" s="3">
        <f>IF(V26&lt;5,IF(K26&gt;0,F26/K26/X26*Conversion!$E$17,0))</f>
        <v>61.062500000000007</v>
      </c>
      <c r="Z26" s="3">
        <f>IF(L26&gt;0,G26/L26/X26*Conversion!$E$17,0)</f>
        <v>0</v>
      </c>
      <c r="AA26" s="3" t="b">
        <f>IF(V26&gt;5,IF(K26&gt;0,F26/K26/X26*Conversion!$E$17,0))</f>
        <v>0</v>
      </c>
      <c r="AB26" s="3">
        <f t="shared" si="13"/>
        <v>61.062500000000007</v>
      </c>
      <c r="AC26" s="3">
        <f>(F26*T26)/365.26/Agriculture!$D$2</f>
        <v>0.34591797623610582</v>
      </c>
      <c r="AD26" s="4">
        <f>SUM(Y26:Z26)*Conversion!$F$18</f>
        <v>1.5089154375E-2</v>
      </c>
      <c r="AE26">
        <f t="shared" si="16"/>
        <v>14.8</v>
      </c>
      <c r="AF26" s="4">
        <f t="shared" si="4"/>
        <v>0.22331948475000002</v>
      </c>
    </row>
    <row r="27" spans="1:32" ht="18">
      <c r="A27" t="s">
        <v>373</v>
      </c>
      <c r="B27">
        <v>3</v>
      </c>
      <c r="C27">
        <v>0.1</v>
      </c>
      <c r="D27">
        <f t="shared" si="14"/>
        <v>0.57711380501851106</v>
      </c>
      <c r="F27" s="3">
        <f>IF(D27&gt;0,D27*Agriculture!$D$2+Agriculture!$E$16*E27,IF(E27&gt;0,0,Agriculture!$D$2*0.025))</f>
        <v>1127.6803750061706</v>
      </c>
      <c r="G27" s="3">
        <f>L27*1/Agriculture!$C$49*Agriculture!$E$16</f>
        <v>0</v>
      </c>
      <c r="H27" t="s">
        <v>421</v>
      </c>
      <c r="I27" s="67">
        <v>1350</v>
      </c>
      <c r="J27" s="67"/>
      <c r="K27" s="54">
        <f>IF(I27&gt;0,I27,J27/2000*Conversion!$D$22)</f>
        <v>1350</v>
      </c>
      <c r="L27" s="67"/>
      <c r="M27" s="67"/>
      <c r="N27" s="67">
        <v>1</v>
      </c>
      <c r="O27" s="66">
        <v>0</v>
      </c>
      <c r="P27" s="66">
        <v>100</v>
      </c>
      <c r="Q27" s="66">
        <v>3</v>
      </c>
      <c r="R27" s="66">
        <v>0</v>
      </c>
      <c r="S27" s="67">
        <v>1188</v>
      </c>
      <c r="T27" s="67">
        <f t="shared" si="15"/>
        <v>9270</v>
      </c>
      <c r="V27">
        <v>4</v>
      </c>
      <c r="X27">
        <f t="shared" si="12"/>
        <v>1</v>
      </c>
      <c r="Y27" s="3">
        <f>IF(V27&lt;5,IF(K27&gt;0,F27/K27/X27*Conversion!$E$17,0))</f>
        <v>8353.1879630086714</v>
      </c>
      <c r="Z27" s="3">
        <f>IF(L27&gt;0,G27/L27/X27*Conversion!$E$17,0)</f>
        <v>0</v>
      </c>
      <c r="AA27" s="3" t="b">
        <f>IF(V27&gt;5,IF(K27&gt;0,F27/K27/X27*Conversion!$E$17,0))</f>
        <v>0</v>
      </c>
      <c r="AB27" s="3">
        <f t="shared" si="13"/>
        <v>8353.1879630086714</v>
      </c>
      <c r="AC27" s="3">
        <f>(F27*T27)/365.26/Agriculture!$D$2</f>
        <v>14.646676264911564</v>
      </c>
      <c r="AD27" s="4">
        <f>SUM(Y27:Z27)*Conversion!$F$18</f>
        <v>2.0641562775390727</v>
      </c>
      <c r="AE27">
        <f t="shared" si="16"/>
        <v>14.8</v>
      </c>
      <c r="AF27" s="4">
        <f t="shared" si="4"/>
        <v>30.549512907578279</v>
      </c>
    </row>
    <row r="28" spans="1:32" ht="18">
      <c r="A28" t="s">
        <v>374</v>
      </c>
      <c r="B28">
        <v>3</v>
      </c>
      <c r="C28">
        <v>0.1</v>
      </c>
      <c r="D28">
        <f t="shared" si="14"/>
        <v>0.57711380501851106</v>
      </c>
      <c r="F28" s="3">
        <f>IF(D28&gt;0,D28*Agriculture!$D$2+Agriculture!$E$16*E28,IF(E28&gt;0,0,Agriculture!$D$2*0.025))</f>
        <v>1127.6803750061706</v>
      </c>
      <c r="G28" s="3">
        <f>L28*1/Agriculture!$C$49*Agriculture!$E$16</f>
        <v>0</v>
      </c>
      <c r="H28" t="s">
        <v>421</v>
      </c>
      <c r="I28" s="67">
        <v>3333</v>
      </c>
      <c r="J28" s="67"/>
      <c r="K28" s="54">
        <f>IF(I28&gt;0,I28,J28/2000*Conversion!$D$22)</f>
        <v>3333</v>
      </c>
      <c r="L28" s="67"/>
      <c r="M28" s="67"/>
      <c r="N28" s="67"/>
      <c r="O28" s="66">
        <v>35</v>
      </c>
      <c r="P28" s="66">
        <v>5</v>
      </c>
      <c r="Q28" s="66">
        <v>0</v>
      </c>
      <c r="R28" s="66">
        <v>30</v>
      </c>
      <c r="S28" s="66">
        <v>979</v>
      </c>
      <c r="T28" s="67">
        <f t="shared" si="15"/>
        <v>3050</v>
      </c>
      <c r="X28">
        <f t="shared" si="12"/>
        <v>1</v>
      </c>
      <c r="Y28" s="3">
        <f>IF(V28&lt;5,IF(K28&gt;0,F28/K28/X28*Conversion!$E$17,0))</f>
        <v>3383.3794629648082</v>
      </c>
      <c r="Z28" s="3">
        <f>IF(L28&gt;0,G28/L28/X28*Conversion!$E$17,0)</f>
        <v>0</v>
      </c>
      <c r="AA28" s="3" t="b">
        <f>IF(V28&gt;5,IF(K28&gt;0,F28/K28/X28*Conversion!$E$17,0))</f>
        <v>0</v>
      </c>
      <c r="AB28" s="3">
        <f t="shared" si="13"/>
        <v>3383.3794629648082</v>
      </c>
      <c r="AC28" s="3">
        <f>(F28*T28)/365.26/Agriculture!$D$2</f>
        <v>4.8190250925545062</v>
      </c>
      <c r="AD28" s="4">
        <f>SUM(Y28:Z28)*Conversion!$F$18</f>
        <v>0.83606689909323373</v>
      </c>
      <c r="AE28">
        <f t="shared" si="16"/>
        <v>14.8</v>
      </c>
      <c r="AF28" s="4">
        <f t="shared" si="4"/>
        <v>12.373790106579859</v>
      </c>
    </row>
    <row r="29" spans="1:32" ht="18">
      <c r="A29" t="s">
        <v>375</v>
      </c>
      <c r="B29">
        <v>3</v>
      </c>
      <c r="C29">
        <v>0.2</v>
      </c>
      <c r="D29">
        <f t="shared" si="14"/>
        <v>1.1542276100370221</v>
      </c>
      <c r="E29">
        <v>0.05</v>
      </c>
      <c r="F29" s="3">
        <f>IF(D29&gt;0,D29*Agriculture!$D$2+Agriculture!$E$16*E29,IF(E29&gt;0,0,Agriculture!$D$2*0.025))</f>
        <v>148336.59091215322</v>
      </c>
      <c r="G29" s="3">
        <f>L29*1/Agriculture!$C$49*Agriculture!$E$16</f>
        <v>62766.520290946173</v>
      </c>
      <c r="H29" t="s">
        <v>421</v>
      </c>
      <c r="I29" s="67">
        <v>2000</v>
      </c>
      <c r="J29" s="67"/>
      <c r="K29" s="54">
        <f>IF(I29&gt;0,I29,J29/2000*Conversion!$D$22)</f>
        <v>2000</v>
      </c>
      <c r="L29" s="67">
        <f>I29</f>
        <v>2000</v>
      </c>
      <c r="M29" s="67"/>
      <c r="N29" s="67"/>
      <c r="O29" s="66">
        <v>18.29</v>
      </c>
      <c r="P29" s="66">
        <v>42.16</v>
      </c>
      <c r="Q29" s="66">
        <v>68</v>
      </c>
      <c r="R29" s="66">
        <v>28.88</v>
      </c>
      <c r="S29" s="67">
        <v>1106</v>
      </c>
      <c r="T29" s="67">
        <f t="shared" si="15"/>
        <v>11801.199999999999</v>
      </c>
      <c r="X29">
        <f t="shared" si="12"/>
        <v>1</v>
      </c>
      <c r="Y29" s="3">
        <f>IF(V29&lt;5,IF(K29&gt;0,F29/K29/X29*Conversion!$E$17,0))</f>
        <v>741682.95456076611</v>
      </c>
      <c r="Z29" s="3">
        <f>IF(L29&gt;0,G29/L29/X29*Conversion!$E$17,0)</f>
        <v>313832.6014547309</v>
      </c>
      <c r="AA29" s="3" t="b">
        <f>IF(V29&gt;5,IF(K29&gt;0,F29/K29/X29*Conversion!$E$17,0))</f>
        <v>0</v>
      </c>
      <c r="AB29" s="3">
        <f t="shared" si="13"/>
        <v>1055515.5560154971</v>
      </c>
      <c r="AC29" s="3">
        <f>(F29*T29)/365.26/Agriculture!$D$2</f>
        <v>2452.7189710274138</v>
      </c>
      <c r="AD29" s="4">
        <f>SUM(Y29:Z29)*Conversion!$F$18</f>
        <v>260.82844904698948</v>
      </c>
      <c r="AE29">
        <f t="shared" si="16"/>
        <v>14.8</v>
      </c>
      <c r="AF29" s="4">
        <f t="shared" si="4"/>
        <v>3860.2610458954446</v>
      </c>
    </row>
    <row r="30" spans="1:32" ht="18">
      <c r="A30" t="s">
        <v>376</v>
      </c>
      <c r="B30">
        <v>3</v>
      </c>
      <c r="C30">
        <v>0</v>
      </c>
      <c r="D30">
        <f t="shared" si="14"/>
        <v>0</v>
      </c>
      <c r="F30" s="3">
        <f>IF(D30&gt;0,D30*Agriculture!$D$2+Agriculture!$E$16*E30,IF(E30&gt;0,0,Agriculture!$D$2*0.025))</f>
        <v>48.85</v>
      </c>
      <c r="G30" s="3">
        <f>L30*1/Agriculture!$C$49*Agriculture!$E$16</f>
        <v>0</v>
      </c>
      <c r="H30" t="s">
        <v>421</v>
      </c>
      <c r="I30" s="67">
        <v>1071</v>
      </c>
      <c r="J30" s="67"/>
      <c r="K30" s="54">
        <f>IF(I30&gt;0,I30,J30/2000*Conversion!$D$22)</f>
        <v>1071</v>
      </c>
      <c r="L30" s="67"/>
      <c r="M30" s="67"/>
      <c r="N30" s="67"/>
      <c r="O30" s="66">
        <v>9</v>
      </c>
      <c r="P30" s="66">
        <v>1.8</v>
      </c>
      <c r="Q30" s="66"/>
      <c r="R30" s="66">
        <v>75</v>
      </c>
      <c r="S30" s="66">
        <v>366</v>
      </c>
      <c r="T30" s="67">
        <f t="shared" si="15"/>
        <v>3522</v>
      </c>
      <c r="X30">
        <f t="shared" si="12"/>
        <v>1</v>
      </c>
      <c r="Y30" s="3">
        <f>IF(V30&lt;5,IF(K30&gt;0,F30/K30/X30*Conversion!$E$17,0))</f>
        <v>456.11577964519148</v>
      </c>
      <c r="Z30" s="3">
        <f>IF(L30&gt;0,G30/L30/X30*Conversion!$E$17,0)</f>
        <v>0</v>
      </c>
      <c r="AA30" s="3" t="b">
        <f>IF(V30&gt;5,IF(K30&gt;0,F30/K30/X30*Conversion!$E$17,0))</f>
        <v>0</v>
      </c>
      <c r="AB30" s="3">
        <f t="shared" si="13"/>
        <v>456.11577964519148</v>
      </c>
      <c r="AC30" s="3">
        <f>(F30*T30)/365.26/Agriculture!$D$2</f>
        <v>0.24106116191206267</v>
      </c>
      <c r="AD30" s="4">
        <f>SUM(Y30:Z30)*Conversion!$F$18</f>
        <v>0.11271077030812326</v>
      </c>
      <c r="AE30">
        <f t="shared" si="16"/>
        <v>14.8</v>
      </c>
      <c r="AF30" s="4">
        <f t="shared" si="4"/>
        <v>1.6681194005602245</v>
      </c>
    </row>
    <row r="31" spans="1:32" ht="18">
      <c r="A31" t="s">
        <v>378</v>
      </c>
      <c r="B31">
        <v>3</v>
      </c>
      <c r="C31">
        <v>0.2</v>
      </c>
      <c r="D31">
        <f t="shared" si="14"/>
        <v>1.1542276100370221</v>
      </c>
      <c r="F31" s="3">
        <f>IF(D31&gt;0,D31*Agriculture!$D$2+Agriculture!$E$16*E31,IF(E31&gt;0,0,Agriculture!$D$2*0.025))</f>
        <v>2255.3607500123412</v>
      </c>
      <c r="G31" s="3">
        <f>L31*1/Agriculture!$C$49*Agriculture!$E$16</f>
        <v>0</v>
      </c>
      <c r="H31" t="s">
        <v>421</v>
      </c>
      <c r="I31" s="67">
        <v>2035</v>
      </c>
      <c r="J31" s="67"/>
      <c r="K31" s="54">
        <f>IF(I31&gt;0,I31,J31/2000*Conversion!$D$22)</f>
        <v>2035</v>
      </c>
      <c r="L31" s="67"/>
      <c r="M31" s="67"/>
      <c r="N31" s="67"/>
      <c r="O31" s="66">
        <v>25</v>
      </c>
      <c r="P31" s="66">
        <v>33</v>
      </c>
      <c r="Q31" s="66">
        <v>82</v>
      </c>
      <c r="R31" s="66">
        <v>30</v>
      </c>
      <c r="S31" s="66">
        <v>1022</v>
      </c>
      <c r="T31" s="67">
        <f t="shared" si="15"/>
        <v>12550</v>
      </c>
      <c r="X31">
        <f t="shared" si="12"/>
        <v>1</v>
      </c>
      <c r="Y31" s="3">
        <f>IF(V31&lt;5,IF(K31&gt;0,F31/K31/X31*Conversion!$E$17,0))</f>
        <v>11082.853808414453</v>
      </c>
      <c r="Z31" s="3">
        <f>IF(L31&gt;0,G31/L31/X31*Conversion!$E$17,0)</f>
        <v>0</v>
      </c>
      <c r="AA31" s="3" t="b">
        <f>IF(V31&gt;5,IF(K31&gt;0,F31/K31/X31*Conversion!$E$17,0))</f>
        <v>0</v>
      </c>
      <c r="AB31" s="3">
        <f t="shared" si="13"/>
        <v>11082.853808414453</v>
      </c>
      <c r="AC31" s="3">
        <f>(F31*T31)/365.26/Agriculture!$D$2</f>
        <v>39.658206499382977</v>
      </c>
      <c r="AD31" s="4">
        <f>SUM(Y31:Z31)*Conversion!$F$18</f>
        <v>2.7386840045972951</v>
      </c>
      <c r="AE31">
        <f t="shared" si="16"/>
        <v>14.8</v>
      </c>
      <c r="AF31" s="4">
        <f t="shared" si="4"/>
        <v>40.532523268039967</v>
      </c>
    </row>
    <row r="32" spans="1:32" ht="18">
      <c r="A32" t="s">
        <v>381</v>
      </c>
      <c r="B32">
        <v>3</v>
      </c>
      <c r="C32">
        <v>0.2</v>
      </c>
      <c r="D32">
        <f t="shared" si="14"/>
        <v>1.1542276100370221</v>
      </c>
      <c r="F32" s="3">
        <f>IF(D32&gt;0,D32*Agriculture!$D$2+Agriculture!$E$16*E32,IF(E32&gt;0,0,Agriculture!$D$2*0.025))</f>
        <v>2255.3607500123412</v>
      </c>
      <c r="G32" s="3">
        <f>L32*1/Agriculture!$C$49*Agriculture!$E$16</f>
        <v>29908.246918635854</v>
      </c>
      <c r="H32" t="s">
        <v>421</v>
      </c>
      <c r="I32">
        <v>953</v>
      </c>
      <c r="K32" s="54">
        <f>IF(I32&gt;0,I32,J32/2000*Conversion!$D$22)</f>
        <v>953</v>
      </c>
      <c r="L32">
        <f>I32</f>
        <v>953</v>
      </c>
      <c r="O32" s="66">
        <v>11.02</v>
      </c>
      <c r="P32" s="66">
        <v>4.22</v>
      </c>
      <c r="Q32" s="66">
        <v>50.57</v>
      </c>
      <c r="R32" s="66">
        <v>72.849999999999994</v>
      </c>
      <c r="S32" s="66">
        <v>345</v>
      </c>
      <c r="T32" s="67">
        <f t="shared" si="15"/>
        <v>8285.9</v>
      </c>
      <c r="X32">
        <f t="shared" si="12"/>
        <v>1</v>
      </c>
      <c r="Y32" s="3">
        <f>IF(V32&lt;5,IF(K32&gt;0,F32/K32/X32*Conversion!$E$17,0))</f>
        <v>23665.905036855627</v>
      </c>
      <c r="Z32" s="3">
        <f>IF(L32&gt;0,G32/L32/X32*Conversion!$E$17,0)</f>
        <v>313832.6014547309</v>
      </c>
      <c r="AA32" s="3" t="b">
        <f>IF(V32&gt;5,IF(K32&gt;0,F32/K32/X32*Conversion!$E$17,0))</f>
        <v>0</v>
      </c>
      <c r="AB32" s="3">
        <f t="shared" si="13"/>
        <v>337498.50649158651</v>
      </c>
      <c r="AC32" s="3">
        <f>(F32*T32)/365.26/Agriculture!$D$2</f>
        <v>26.183580337309756</v>
      </c>
      <c r="AD32" s="4">
        <f>SUM(Y32:Z32)*Conversion!$F$18</f>
        <v>83.399255939135941</v>
      </c>
      <c r="AE32">
        <f t="shared" si="16"/>
        <v>14.8</v>
      </c>
      <c r="AF32" s="4">
        <f t="shared" si="4"/>
        <v>1234.3089878992121</v>
      </c>
    </row>
    <row r="33" spans="1:32" ht="18">
      <c r="A33" t="s">
        <v>383</v>
      </c>
      <c r="B33">
        <v>3</v>
      </c>
      <c r="C33">
        <v>2</v>
      </c>
      <c r="D33">
        <f t="shared" si="14"/>
        <v>11.542276100370222</v>
      </c>
      <c r="F33" s="3">
        <f>IF(D33&gt;0,D33*Agriculture!$D$2+Agriculture!$E$16*E33,IF(E33&gt;0,0,Agriculture!$D$2*0.025))</f>
        <v>22553.607500123413</v>
      </c>
      <c r="G33" s="3">
        <f>L33*1/Agriculture!$C$49*Agriculture!$E$16</f>
        <v>0</v>
      </c>
      <c r="H33" t="s">
        <v>421</v>
      </c>
      <c r="I33">
        <v>2000</v>
      </c>
      <c r="K33" s="54">
        <f>IF(I33&gt;0,I33,J33/2000*Conversion!$D$22)</f>
        <v>2000</v>
      </c>
      <c r="N33">
        <v>1</v>
      </c>
      <c r="O33" s="66">
        <v>0</v>
      </c>
      <c r="P33" s="66">
        <v>100</v>
      </c>
      <c r="Q33" s="66">
        <v>8</v>
      </c>
      <c r="R33" s="66">
        <v>0</v>
      </c>
      <c r="S33" s="66">
        <v>1760</v>
      </c>
      <c r="T33" s="67">
        <f t="shared" si="15"/>
        <v>9720</v>
      </c>
      <c r="X33">
        <f t="shared" si="12"/>
        <v>1</v>
      </c>
      <c r="Y33" s="3">
        <f>IF(V33&lt;5,IF(K33&gt;0,F33/K33/X33*Conversion!$E$17,0))</f>
        <v>112768.03750061707</v>
      </c>
      <c r="Z33" s="3">
        <f>IF(L33&gt;0,G33/L33/X33*Conversion!$E$17,0)</f>
        <v>0</v>
      </c>
      <c r="AA33" s="3" t="b">
        <f>IF(V33&gt;5,IF(K33&gt;0,F33/K33/X33*Conversion!$E$17,0))</f>
        <v>0</v>
      </c>
      <c r="AB33" s="3">
        <f t="shared" si="13"/>
        <v>112768.03750061707</v>
      </c>
      <c r="AC33" s="3">
        <f>(F33*T33)/365.26/Agriculture!$D$2</f>
        <v>307.15359934183476</v>
      </c>
      <c r="AD33" s="4">
        <f>SUM(Y33:Z33)*Conversion!$F$18</f>
        <v>27.866109746777482</v>
      </c>
      <c r="AE33">
        <f t="shared" si="16"/>
        <v>14.8</v>
      </c>
      <c r="AF33" s="4">
        <f t="shared" si="4"/>
        <v>412.41842425230675</v>
      </c>
    </row>
    <row r="34" spans="1:32" ht="18">
      <c r="A34" t="s">
        <v>433</v>
      </c>
      <c r="B34">
        <v>3</v>
      </c>
      <c r="C34">
        <v>0</v>
      </c>
      <c r="D34">
        <f t="shared" si="14"/>
        <v>0</v>
      </c>
      <c r="F34" s="3">
        <f>IF(D34&gt;0,D34*Agriculture!$D$2+Agriculture!$E$16*E34,IF(E34&gt;0,0,Agriculture!$D$2*0.025))</f>
        <v>48.85</v>
      </c>
      <c r="G34" s="3">
        <f>L34*1/Agriculture!$C$49*Agriculture!$E$16</f>
        <v>0</v>
      </c>
      <c r="J34">
        <v>4320</v>
      </c>
      <c r="K34" s="54">
        <f>IF(I34&gt;0,I34,J34/2000*Conversion!$D$22)</f>
        <v>4842.0769896000002</v>
      </c>
      <c r="N34">
        <v>1</v>
      </c>
      <c r="O34" s="66"/>
      <c r="P34" s="66"/>
      <c r="Q34" s="66"/>
      <c r="R34" s="66"/>
      <c r="S34" s="66"/>
      <c r="T34" s="67">
        <f t="shared" si="15"/>
        <v>0</v>
      </c>
      <c r="X34">
        <f t="shared" si="12"/>
        <v>1</v>
      </c>
      <c r="Y34" s="3">
        <f>IF(V34&lt;5,IF(K34&gt;0,F34/K34/X34*Conversion!$E$17,0))</f>
        <v>100.88645865177675</v>
      </c>
      <c r="Z34" s="3">
        <f>IF(L34&gt;0,G34/L34/X34*Conversion!$E$17,0)</f>
        <v>0</v>
      </c>
      <c r="AA34" s="3" t="b">
        <f>IF(V34&gt;5,IF(K34&gt;0,F34/K34/X34*Conversion!$E$17,0))</f>
        <v>0</v>
      </c>
      <c r="AB34" s="3">
        <f t="shared" si="13"/>
        <v>100.88645865177675</v>
      </c>
      <c r="AC34" s="3">
        <f>(F34*T34)/365.26/Agriculture!$D$2</f>
        <v>0</v>
      </c>
      <c r="AD34" s="4">
        <f>SUM(Y34:Z34)*Conversion!$F$18</f>
        <v>2.4930052797440552E-2</v>
      </c>
      <c r="AE34">
        <f t="shared" si="16"/>
        <v>14.8</v>
      </c>
      <c r="AF34" s="4">
        <f t="shared" si="4"/>
        <v>0.36896478140212019</v>
      </c>
    </row>
    <row r="35" spans="1:32" ht="18">
      <c r="A35" t="s">
        <v>385</v>
      </c>
      <c r="B35">
        <v>3</v>
      </c>
      <c r="C35">
        <v>0</v>
      </c>
      <c r="D35">
        <f t="shared" si="14"/>
        <v>0</v>
      </c>
      <c r="F35" s="3">
        <f>IF(D35&gt;0,D35*Agriculture!$D$2+Agriculture!$E$16*E35,IF(E35&gt;0,0,Agriculture!$D$2*0.025))</f>
        <v>48.85</v>
      </c>
      <c r="G35" s="3">
        <f>L35*1/Agriculture!$C$49*Agriculture!$E$16</f>
        <v>0</v>
      </c>
      <c r="H35" t="s">
        <v>421</v>
      </c>
      <c r="I35">
        <v>291</v>
      </c>
      <c r="K35" s="54">
        <f>IF(I35&gt;0,I35,J35/2000*Conversion!$D$22)</f>
        <v>291</v>
      </c>
      <c r="N35">
        <v>1</v>
      </c>
      <c r="O35" s="66"/>
      <c r="P35" s="66">
        <v>100</v>
      </c>
      <c r="Q35" s="66">
        <v>2.2999999999999998</v>
      </c>
      <c r="R35" s="66"/>
      <c r="S35" s="66">
        <v>256</v>
      </c>
      <c r="T35" s="67">
        <f t="shared" si="15"/>
        <v>9207</v>
      </c>
      <c r="V35">
        <v>4</v>
      </c>
      <c r="X35">
        <f t="shared" si="12"/>
        <v>1</v>
      </c>
      <c r="Y35" s="3">
        <f>IF(V35&lt;5,IF(K35&gt;0,F35/K35/X35*Conversion!$E$17,0))</f>
        <v>1678.6941580756015</v>
      </c>
      <c r="Z35" s="3">
        <f>IF(L35&gt;0,G35/L35/X35*Conversion!$E$17,0)</f>
        <v>0</v>
      </c>
      <c r="AA35" s="3" t="b">
        <f>IF(V35&gt;5,IF(K35&gt;0,F35/K35/X35*Conversion!$E$17,0))</f>
        <v>0</v>
      </c>
      <c r="AB35" s="3">
        <f t="shared" si="13"/>
        <v>1678.6941580756015</v>
      </c>
      <c r="AC35" s="3">
        <f>(F35*T35)/365.26/Agriculture!$D$2</f>
        <v>0.63016755188085205</v>
      </c>
      <c r="AD35" s="4">
        <f>SUM(Y35:Z35)*Conversion!$F$18</f>
        <v>0.41482211340206188</v>
      </c>
      <c r="AE35">
        <f t="shared" si="16"/>
        <v>14.8</v>
      </c>
      <c r="AF35" s="4">
        <f t="shared" si="4"/>
        <v>6.139367278350516</v>
      </c>
    </row>
    <row r="36" spans="1:32" ht="18">
      <c r="A36" t="s">
        <v>384</v>
      </c>
      <c r="B36">
        <v>3</v>
      </c>
      <c r="C36">
        <v>0</v>
      </c>
      <c r="D36">
        <f t="shared" si="14"/>
        <v>0</v>
      </c>
      <c r="F36" s="3">
        <f>IF(D36&gt;0,D36*Agriculture!$D$2+Agriculture!$E$16*E36,IF(E36&gt;0,0,Agriculture!$D$2*0.025))</f>
        <v>48.85</v>
      </c>
      <c r="G36" s="3">
        <f>L36*1/Agriculture!$C$49*Agriculture!$E$16</f>
        <v>0</v>
      </c>
      <c r="H36" t="s">
        <v>421</v>
      </c>
      <c r="I36">
        <v>4000</v>
      </c>
      <c r="K36" s="54">
        <f>IF(I36&gt;0,I36,J36/2000*Conversion!$D$22)</f>
        <v>4000</v>
      </c>
      <c r="N36">
        <v>1</v>
      </c>
      <c r="O36" s="66">
        <v>0</v>
      </c>
      <c r="P36" s="66">
        <v>100</v>
      </c>
      <c r="Q36" s="66">
        <v>10.8</v>
      </c>
      <c r="R36" s="66">
        <v>0</v>
      </c>
      <c r="S36" s="66">
        <v>3520</v>
      </c>
      <c r="T36" s="67">
        <f t="shared" si="15"/>
        <v>9972</v>
      </c>
      <c r="V36" s="66">
        <v>4</v>
      </c>
      <c r="X36">
        <f t="shared" si="12"/>
        <v>1</v>
      </c>
      <c r="Y36" s="3">
        <f>IF(V36&lt;5,IF(K36&gt;0,F36/K36/X36*Conversion!$E$17,0))</f>
        <v>122.12500000000001</v>
      </c>
      <c r="Z36" s="3">
        <f>IF(L36&gt;0,G36/L36/X36*Conversion!$E$17,0)</f>
        <v>0</v>
      </c>
      <c r="AA36" s="3" t="b">
        <f>IF(V36&gt;5,IF(K36&gt;0,F36/K36/X36*Conversion!$E$17,0))</f>
        <v>0</v>
      </c>
      <c r="AB36" s="3">
        <f t="shared" si="13"/>
        <v>122.12500000000001</v>
      </c>
      <c r="AC36" s="3">
        <f>(F36*T36)/365.26/Agriculture!$D$2</f>
        <v>0.68252751464710082</v>
      </c>
      <c r="AD36" s="4">
        <f>SUM(Y36:Z36)*Conversion!$F$18</f>
        <v>3.0178308750000001E-2</v>
      </c>
      <c r="AE36">
        <f t="shared" si="16"/>
        <v>14.8</v>
      </c>
      <c r="AF36" s="4">
        <f t="shared" si="4"/>
        <v>0.44663896950000004</v>
      </c>
    </row>
    <row r="37" spans="1:32" ht="18">
      <c r="A37" t="s">
        <v>424</v>
      </c>
      <c r="B37">
        <v>3</v>
      </c>
      <c r="C37">
        <v>0.1</v>
      </c>
      <c r="D37">
        <f t="shared" si="14"/>
        <v>0.57711380501851106</v>
      </c>
      <c r="F37" s="3">
        <f>IF(D37&gt;0,D37*Agriculture!$D$2+Agriculture!$E$16*E37,IF(E37&gt;0,0,Agriculture!$D$2*0.025))</f>
        <v>1127.6803750061706</v>
      </c>
      <c r="G37" s="3">
        <f>L37*1/Agriculture!$C$49*Agriculture!$E$16</f>
        <v>0</v>
      </c>
      <c r="J37">
        <v>962</v>
      </c>
      <c r="K37" s="54">
        <f>IF(I37&gt;0,I37,J37/2000*Conversion!$D$22)</f>
        <v>1078.2588111100001</v>
      </c>
      <c r="N37">
        <v>1</v>
      </c>
      <c r="O37" s="66"/>
      <c r="P37" s="66"/>
      <c r="Q37" s="66"/>
      <c r="R37" s="66"/>
      <c r="S37" s="66"/>
      <c r="T37" s="67">
        <f t="shared" si="15"/>
        <v>0</v>
      </c>
      <c r="X37">
        <f t="shared" si="12"/>
        <v>1</v>
      </c>
      <c r="Y37" s="3">
        <f>IF(V37&lt;5,IF(K37&gt;0,F37/K37/X37*Conversion!$E$17,0))</f>
        <v>10458.346024043098</v>
      </c>
      <c r="Z37" s="3">
        <f>IF(L37&gt;0,G37/L37/X37*Conversion!$E$17,0)</f>
        <v>0</v>
      </c>
      <c r="AA37" s="3" t="b">
        <f>IF(V37&gt;5,IF(K37&gt;0,F37/K37/X37*Conversion!$E$17,0))</f>
        <v>0</v>
      </c>
      <c r="AB37" s="3">
        <f t="shared" si="13"/>
        <v>10458.346024043098</v>
      </c>
      <c r="AC37" s="3">
        <f>(F37*T37)/365.26/Agriculture!$D$2</f>
        <v>0</v>
      </c>
      <c r="AD37" s="4">
        <f>SUM(Y37:Z37)*Conversion!$F$18</f>
        <v>2.5843618860012896</v>
      </c>
      <c r="AE37">
        <f t="shared" si="16"/>
        <v>14.8</v>
      </c>
      <c r="AF37" s="4">
        <f t="shared" si="4"/>
        <v>38.248555912819086</v>
      </c>
    </row>
    <row r="38" spans="1:32" ht="18">
      <c r="A38" t="s">
        <v>425</v>
      </c>
      <c r="B38">
        <v>3</v>
      </c>
      <c r="C38">
        <v>0.1</v>
      </c>
      <c r="D38">
        <f t="shared" si="14"/>
        <v>0.57711380501851106</v>
      </c>
      <c r="F38" s="3">
        <f>IF(D38&gt;0,D38*Agriculture!$D$2+Agriculture!$E$16*E38,IF(E38&gt;0,0,Agriculture!$D$2*0.025))</f>
        <v>1127.6803750061706</v>
      </c>
      <c r="G38" s="3">
        <f>L38*1/Agriculture!$C$49*Agriculture!$E$16</f>
        <v>0</v>
      </c>
      <c r="J38">
        <v>1490</v>
      </c>
      <c r="K38" s="54">
        <f>IF(I38&gt;0,I38,J38/2000*Conversion!$D$22)</f>
        <v>1670.0682209500001</v>
      </c>
      <c r="N38">
        <v>1</v>
      </c>
      <c r="O38" s="66"/>
      <c r="P38" s="66"/>
      <c r="Q38" s="66"/>
      <c r="R38" s="66"/>
      <c r="S38" s="66"/>
      <c r="T38" s="67">
        <f t="shared" si="15"/>
        <v>0</v>
      </c>
      <c r="X38">
        <f t="shared" si="12"/>
        <v>1</v>
      </c>
      <c r="Y38" s="3">
        <f>IF(V38&lt;5,IF(K38&gt;0,F38/K38/X38*Conversion!$E$17,0))</f>
        <v>6752.3012584761473</v>
      </c>
      <c r="Z38" s="3">
        <f>IF(L38&gt;0,G38/L38/X38*Conversion!$E$17,0)</f>
        <v>0</v>
      </c>
      <c r="AA38" s="3" t="b">
        <f>IF(V38&gt;5,IF(K38&gt;0,F38/K38/X38*Conversion!$E$17,0))</f>
        <v>0</v>
      </c>
      <c r="AB38" s="3">
        <f t="shared" si="13"/>
        <v>6752.3012584761473</v>
      </c>
      <c r="AC38" s="3">
        <f>(F38*T38)/365.26/Agriculture!$D$2</f>
        <v>0</v>
      </c>
      <c r="AD38" s="4">
        <f>SUM(Y38:Z38)*Conversion!$F$18</f>
        <v>1.6685611639820406</v>
      </c>
      <c r="AE38">
        <f t="shared" si="16"/>
        <v>14.8</v>
      </c>
      <c r="AF38" s="4">
        <f t="shared" si="4"/>
        <v>24.6947052269342</v>
      </c>
    </row>
    <row r="39" spans="1:32" ht="18">
      <c r="A39" t="s">
        <v>405</v>
      </c>
      <c r="B39">
        <v>3</v>
      </c>
      <c r="C39">
        <v>0.1</v>
      </c>
      <c r="D39">
        <f t="shared" si="14"/>
        <v>0.57711380501851106</v>
      </c>
      <c r="F39" s="3">
        <f>IF(D39&gt;0,D39*Agriculture!$D$2+Agriculture!$E$16*E39,IF(E39&gt;0,0,Agriculture!$D$2*0.025))</f>
        <v>1127.6803750061706</v>
      </c>
      <c r="G39" s="3">
        <f>L39*1/Agriculture!$C$49*Agriculture!$E$16</f>
        <v>0</v>
      </c>
      <c r="I39">
        <v>924</v>
      </c>
      <c r="K39" s="54">
        <f>IF(I39&gt;0,I39,J39/2000*Conversion!$D$22)</f>
        <v>924</v>
      </c>
      <c r="M39">
        <v>150</v>
      </c>
      <c r="O39" s="66">
        <v>30.23</v>
      </c>
      <c r="P39" s="66">
        <v>49</v>
      </c>
      <c r="Q39" s="66">
        <v>42</v>
      </c>
      <c r="R39" s="66">
        <v>11</v>
      </c>
      <c r="S39" s="66">
        <v>543</v>
      </c>
      <c r="T39" s="67">
        <f t="shared" si="15"/>
        <v>9839.2000000000007</v>
      </c>
      <c r="X39">
        <f t="shared" si="12"/>
        <v>2.4000000000000004</v>
      </c>
      <c r="Y39" s="3">
        <f>IF(V39&lt;5,IF(K39&gt;0,F39/K39/X39*Conversion!$E$17,0))</f>
        <v>5085.1387761822261</v>
      </c>
      <c r="Z39" s="3">
        <f>IF(L39&gt;0,G39/L39/X39*Conversion!$E$17,0)</f>
        <v>0</v>
      </c>
      <c r="AA39" s="3" t="b">
        <f>IF(V39&gt;5,IF(K39&gt;0,F39/K39/X39*Conversion!$E$17,0))</f>
        <v>0</v>
      </c>
      <c r="AB39" s="3">
        <f t="shared" si="13"/>
        <v>5085.1387761822261</v>
      </c>
      <c r="AC39" s="3">
        <f>(F39*T39)/365.26/Agriculture!$D$2</f>
        <v>15.54601694775813</v>
      </c>
      <c r="AD39" s="4">
        <f>SUM(Y39:Z39)*Conversion!$F$18</f>
        <v>1.2565886429823898</v>
      </c>
      <c r="AE39">
        <f t="shared" si="16"/>
        <v>14.8</v>
      </c>
      <c r="AF39" s="4">
        <f t="shared" si="4"/>
        <v>44.634028598734496</v>
      </c>
    </row>
    <row r="40" spans="1:32" ht="18">
      <c r="A40" t="s">
        <v>389</v>
      </c>
      <c r="B40">
        <v>3</v>
      </c>
      <c r="C40">
        <v>0.2</v>
      </c>
      <c r="D40">
        <f t="shared" si="14"/>
        <v>1.1542276100370221</v>
      </c>
      <c r="F40" s="3">
        <f>IF(D40&gt;0,D40*Agriculture!$D$2+Agriculture!$E$16*E40,IF(E40&gt;0,0,Agriculture!$D$2*0.025))</f>
        <v>2255.3607500123412</v>
      </c>
      <c r="G40" s="3">
        <f>L40*1/Agriculture!$C$49*Agriculture!$E$16</f>
        <v>299553.21808854066</v>
      </c>
      <c r="H40" t="s">
        <v>421</v>
      </c>
      <c r="I40">
        <v>1909</v>
      </c>
      <c r="K40" s="54">
        <f>IF(I40&gt;0,I40,J40/2000*Conversion!$D$22)</f>
        <v>1909</v>
      </c>
      <c r="L40">
        <f>I40*5</f>
        <v>9545</v>
      </c>
      <c r="O40" s="66">
        <v>0</v>
      </c>
      <c r="P40" s="66">
        <v>44</v>
      </c>
      <c r="Q40" s="66">
        <v>0</v>
      </c>
      <c r="R40" s="66">
        <v>0</v>
      </c>
      <c r="S40" s="66">
        <v>739</v>
      </c>
      <c r="T40" s="67">
        <f t="shared" si="15"/>
        <v>3960</v>
      </c>
      <c r="X40">
        <f t="shared" si="12"/>
        <v>1</v>
      </c>
      <c r="Y40" s="3">
        <f>IF(V40&lt;5,IF(K40&gt;0,F40/K40/X40*Conversion!$E$17,0))</f>
        <v>11814.3569932548</v>
      </c>
      <c r="Z40" s="3">
        <f>IF(L40&gt;0,G40/L40/X40*Conversion!$E$17,0)</f>
        <v>313832.6014547309</v>
      </c>
      <c r="AA40" s="3" t="b">
        <f>IF(V40&gt;5,IF(K40&gt;0,F40/K40/X40*Conversion!$E$17,0))</f>
        <v>0</v>
      </c>
      <c r="AB40" s="3">
        <f t="shared" si="13"/>
        <v>325646.9584479857</v>
      </c>
      <c r="AC40" s="3">
        <f>(F40*T40)/365.26/Agriculture!$D$2</f>
        <v>12.513665158371044</v>
      </c>
      <c r="AD40" s="4">
        <f>SUM(Y40:Z40)*Conversion!$F$18</f>
        <v>80.470619902081737</v>
      </c>
      <c r="AE40">
        <f t="shared" si="16"/>
        <v>14.8</v>
      </c>
      <c r="AF40" s="4">
        <f t="shared" si="4"/>
        <v>1190.9651745508097</v>
      </c>
    </row>
    <row r="41" spans="1:32" ht="18">
      <c r="A41" t="s">
        <v>393</v>
      </c>
      <c r="B41">
        <v>3</v>
      </c>
      <c r="C41">
        <v>0.2</v>
      </c>
      <c r="D41">
        <f t="shared" si="14"/>
        <v>1.1542276100370221</v>
      </c>
      <c r="F41" s="3">
        <f>IF(D41&gt;0,D41*Agriculture!$D$2+Agriculture!$E$16*E41,IF(E41&gt;0,0,Agriculture!$D$2*0.025))</f>
        <v>2255.3607500123412</v>
      </c>
      <c r="G41" s="3">
        <f>L41*1/Agriculture!$C$49*Agriculture!$E$16</f>
        <v>0</v>
      </c>
      <c r="H41" t="s">
        <v>421</v>
      </c>
      <c r="I41">
        <v>890</v>
      </c>
      <c r="K41" s="54">
        <f>IF(I41&gt;0,I41,J41/2000*Conversion!$D$22)</f>
        <v>890</v>
      </c>
      <c r="O41" s="66">
        <v>16.18</v>
      </c>
      <c r="P41" s="66">
        <v>38.450000000000003</v>
      </c>
      <c r="Q41" s="66">
        <v>73.400000000000006</v>
      </c>
      <c r="R41" s="66">
        <v>34.39</v>
      </c>
      <c r="S41" s="66">
        <v>475</v>
      </c>
      <c r="T41" s="67">
        <f t="shared" si="15"/>
        <v>12089.300000000001</v>
      </c>
      <c r="X41">
        <f t="shared" si="12"/>
        <v>1</v>
      </c>
      <c r="Y41" s="3">
        <f>IF(V41&lt;5,IF(K41&gt;0,F41/K41/X41*Conversion!$E$17,0))</f>
        <v>25341.132022610578</v>
      </c>
      <c r="Z41" s="3">
        <f>IF(L41&gt;0,G41/L41/X41*Conversion!$E$17,0)</f>
        <v>0</v>
      </c>
      <c r="AA41" s="3" t="b">
        <f>IF(V41&gt;5,IF(K41&gt;0,F41/K41/X41*Conversion!$E$17,0))</f>
        <v>0</v>
      </c>
      <c r="AB41" s="3">
        <f t="shared" si="13"/>
        <v>25341.132022610578</v>
      </c>
      <c r="AC41" s="3">
        <f>(F41*T41)/365.26/Agriculture!$D$2</f>
        <v>38.202386918963398</v>
      </c>
      <c r="AD41" s="4">
        <f>SUM(Y41:Z41)*Conversion!$F$18</f>
        <v>6.2620471341072994</v>
      </c>
      <c r="AE41">
        <f t="shared" si="16"/>
        <v>14.8</v>
      </c>
      <c r="AF41" s="4">
        <f t="shared" si="4"/>
        <v>92.678297584788041</v>
      </c>
    </row>
    <row r="42" spans="1:32" ht="18">
      <c r="A42" t="s">
        <v>394</v>
      </c>
      <c r="B42">
        <v>3</v>
      </c>
      <c r="C42">
        <v>0.1</v>
      </c>
      <c r="D42">
        <f t="shared" si="14"/>
        <v>0.57711380501851106</v>
      </c>
      <c r="F42" s="3">
        <f>IF(D42&gt;0,D42*Agriculture!$D$2+Agriculture!$E$16*E42,IF(E42&gt;0,0,Agriculture!$D$2*0.025))</f>
        <v>1127.6803750061706</v>
      </c>
      <c r="G42" s="3">
        <f>L42*1/Agriculture!$C$49*Agriculture!$E$16</f>
        <v>0</v>
      </c>
      <c r="H42" t="s">
        <v>421</v>
      </c>
      <c r="I42">
        <v>478</v>
      </c>
      <c r="K42" s="54">
        <f>IF(I42&gt;0,I42,J42/2000*Conversion!$D$22)</f>
        <v>478</v>
      </c>
      <c r="O42" s="66">
        <v>17.73</v>
      </c>
      <c r="P42" s="66">
        <v>49.67</v>
      </c>
      <c r="Q42" s="66">
        <v>44</v>
      </c>
      <c r="R42" s="66">
        <v>23.45</v>
      </c>
      <c r="S42" s="66">
        <v>285</v>
      </c>
      <c r="T42" s="67">
        <f t="shared" si="15"/>
        <v>10077.5</v>
      </c>
      <c r="X42">
        <f t="shared" si="12"/>
        <v>1</v>
      </c>
      <c r="Y42" s="3">
        <f>IF(V42&lt;5,IF(K42&gt;0,F42/K42/X42*Conversion!$E$17,0))</f>
        <v>23591.639644480558</v>
      </c>
      <c r="Z42" s="3">
        <f>IF(L42&gt;0,G42/L42/X42*Conversion!$E$17,0)</f>
        <v>0</v>
      </c>
      <c r="AA42" s="3" t="b">
        <f>IF(V42&gt;5,IF(K42&gt;0,F42/K42/X42*Conversion!$E$17,0))</f>
        <v>0</v>
      </c>
      <c r="AB42" s="3">
        <f t="shared" si="13"/>
        <v>23591.639644480558</v>
      </c>
      <c r="AC42" s="3">
        <f>(F42*T42)/365.26/Agriculture!$D$2</f>
        <v>15.922532908268206</v>
      </c>
      <c r="AD42" s="4">
        <f>SUM(Y42:Z42)*Conversion!$F$18</f>
        <v>5.8297300725475907</v>
      </c>
      <c r="AE42">
        <f t="shared" si="16"/>
        <v>14.8</v>
      </c>
      <c r="AF42" s="4">
        <f t="shared" si="4"/>
        <v>86.280005073704345</v>
      </c>
    </row>
    <row r="43" spans="1:32" ht="18">
      <c r="A43" t="s">
        <v>398</v>
      </c>
      <c r="B43">
        <v>3</v>
      </c>
      <c r="C43">
        <v>0.1</v>
      </c>
      <c r="D43">
        <f t="shared" si="14"/>
        <v>0.57711380501851106</v>
      </c>
      <c r="F43" s="3">
        <f>IF(D43&gt;0,D43*Agriculture!$D$2+Agriculture!$E$16*E43,IF(E43&gt;0,0,Agriculture!$D$2*0.025))</f>
        <v>1127.6803750061706</v>
      </c>
      <c r="G43" s="3">
        <f>L43*1/Agriculture!$C$49*Agriculture!$E$16</f>
        <v>0</v>
      </c>
      <c r="H43" t="s">
        <v>421</v>
      </c>
      <c r="I43">
        <v>1424</v>
      </c>
      <c r="K43" s="54">
        <f>IF(I43&gt;0,I43,J43/2000*Conversion!$D$22)</f>
        <v>1424</v>
      </c>
      <c r="O43" s="66">
        <v>20.78</v>
      </c>
      <c r="P43" s="66">
        <v>51.64</v>
      </c>
      <c r="Q43" s="66">
        <v>45</v>
      </c>
      <c r="R43" s="66">
        <v>20</v>
      </c>
      <c r="S43" s="66">
        <v>868</v>
      </c>
      <c r="T43" s="67">
        <f t="shared" si="15"/>
        <v>10328.800000000001</v>
      </c>
      <c r="X43">
        <f t="shared" si="12"/>
        <v>1</v>
      </c>
      <c r="Y43" s="3">
        <f>IF(V43&lt;5,IF(K43&gt;0,F43/K43/X43*Conversion!$E$17,0))</f>
        <v>7919.1037570658054</v>
      </c>
      <c r="Z43" s="3">
        <f>IF(L43&gt;0,G43/L43/X43*Conversion!$E$17,0)</f>
        <v>0</v>
      </c>
      <c r="AA43" s="3" t="b">
        <f>IF(V43&gt;5,IF(K43&gt;0,F43/K43/X43*Conversion!$E$17,0))</f>
        <v>0</v>
      </c>
      <c r="AB43" s="3">
        <f t="shared" si="13"/>
        <v>7919.1037570658054</v>
      </c>
      <c r="AC43" s="3">
        <f>(F43*T43)/365.26/Agriculture!$D$2</f>
        <v>16.319588975730156</v>
      </c>
      <c r="AD43" s="4">
        <f>SUM(Y43:Z43)*Conversion!$F$18</f>
        <v>1.956889729408531</v>
      </c>
      <c r="AE43">
        <f t="shared" si="16"/>
        <v>14.8</v>
      </c>
      <c r="AF43" s="4">
        <f t="shared" si="4"/>
        <v>28.961967995246262</v>
      </c>
    </row>
    <row r="44" spans="1:32" ht="18">
      <c r="A44" t="s">
        <v>426</v>
      </c>
      <c r="B44">
        <v>3</v>
      </c>
      <c r="C44">
        <v>0.1</v>
      </c>
      <c r="D44">
        <f t="shared" si="14"/>
        <v>0.57711380501851106</v>
      </c>
      <c r="F44" s="3">
        <f>IF(D44&gt;0,D44*Agriculture!$D$2+Agriculture!$E$16*E44,IF(E44&gt;0,0,Agriculture!$D$2*0.025))</f>
        <v>1127.6803750061706</v>
      </c>
      <c r="G44" s="3">
        <f>L44*1/Agriculture!$C$49*Agriculture!$E$16</f>
        <v>0</v>
      </c>
      <c r="J44">
        <v>2760</v>
      </c>
      <c r="K44" s="54">
        <f>IF(I44&gt;0,I44,J44/2000*Conversion!$D$22)</f>
        <v>3093.5491877999998</v>
      </c>
      <c r="T44" s="67">
        <f t="shared" si="15"/>
        <v>0</v>
      </c>
      <c r="V44">
        <v>12</v>
      </c>
      <c r="X44">
        <f t="shared" si="12"/>
        <v>1</v>
      </c>
      <c r="Y44" s="3" t="b">
        <f>IF(V44&lt;5,IF(K44&gt;0,F44/K44/X44*Conversion!$E$17,0))</f>
        <v>0</v>
      </c>
      <c r="Z44" s="3">
        <f>IF(L44&gt;0,G44/L44/X44*Conversion!$E$17,0)</f>
        <v>0</v>
      </c>
      <c r="AA44" s="3">
        <f>IF(V44&gt;5,IF(K44&gt;0,F44/K44/X44*Conversion!$E$17,0))</f>
        <v>3645.2640851918331</v>
      </c>
      <c r="AB44" s="3">
        <f t="shared" si="13"/>
        <v>0</v>
      </c>
      <c r="AC44" s="3">
        <f>(F44*T44)/365.26/Agriculture!$D$2</f>
        <v>0</v>
      </c>
      <c r="AD44" s="4">
        <f>SUM(Y44:Z44)*Conversion!$F$18</f>
        <v>0</v>
      </c>
      <c r="AE44">
        <f t="shared" si="16"/>
        <v>14.8</v>
      </c>
      <c r="AF44" s="4">
        <f t="shared" si="4"/>
        <v>0</v>
      </c>
    </row>
    <row r="45" spans="1:32" ht="18">
      <c r="F45" s="3"/>
      <c r="G45" s="3"/>
      <c r="K45" s="54"/>
      <c r="T45" s="67"/>
      <c r="Y45" s="3"/>
      <c r="Z45" s="3"/>
      <c r="AA45" s="3"/>
      <c r="AB45" s="3"/>
      <c r="AC45" s="3"/>
      <c r="AD45" s="4">
        <f>SUM(Y45:Z45)*Conversion!$F$18</f>
        <v>0</v>
      </c>
      <c r="AE45">
        <f t="shared" si="16"/>
        <v>14.8</v>
      </c>
      <c r="AF45" s="4">
        <f t="shared" si="4"/>
        <v>0</v>
      </c>
    </row>
    <row r="46" spans="1:32" ht="18">
      <c r="A46" t="str">
        <f>Agriculture!B29</f>
        <v>Fruits &amp; Vegetables</v>
      </c>
      <c r="B46">
        <f>COUNT(B47:B82)</f>
        <v>36</v>
      </c>
      <c r="C46">
        <f>SUM(C47:C82)</f>
        <v>35.400000000000006</v>
      </c>
      <c r="D46">
        <f>Agriculture!G29</f>
        <v>128.35857489878543</v>
      </c>
      <c r="F46" s="3"/>
      <c r="G46" s="3"/>
      <c r="K46" s="54"/>
      <c r="T46" s="67"/>
      <c r="Y46" s="3"/>
      <c r="Z46" s="3"/>
      <c r="AA46" s="3"/>
      <c r="AB46" s="3"/>
      <c r="AC46" s="3"/>
      <c r="AD46" s="4">
        <f>SUM(Y46:Z46)*Conversion!$F$18</f>
        <v>0</v>
      </c>
      <c r="AE46">
        <f t="shared" si="16"/>
        <v>14.8</v>
      </c>
      <c r="AF46" s="4">
        <f t="shared" si="4"/>
        <v>0</v>
      </c>
    </row>
    <row r="47" spans="1:32" ht="18">
      <c r="A47" t="s">
        <v>112</v>
      </c>
      <c r="B47">
        <v>6</v>
      </c>
      <c r="C47">
        <v>1</v>
      </c>
      <c r="D47">
        <f>$D$46*C47/$C$46</f>
        <v>3.6259484434685145</v>
      </c>
      <c r="F47" s="3">
        <f>IF(D47&gt;0,D47*Agriculture!$D$2+Agriculture!$E$16*E47,IF(E47&gt;0,0,Agriculture!$D$2*0.025))</f>
        <v>7085.1032585374778</v>
      </c>
      <c r="G47" s="3">
        <f>L47*1/Agriculture!$C$49*Agriculture!$E$16</f>
        <v>0</v>
      </c>
      <c r="J47">
        <v>25400</v>
      </c>
      <c r="K47" s="54">
        <f>IF(I47&gt;0,I47,J47/2000*Conversion!$D$22)</f>
        <v>28469.619337</v>
      </c>
      <c r="N47">
        <v>1</v>
      </c>
      <c r="R47">
        <v>98</v>
      </c>
      <c r="T47" s="67">
        <f t="shared" ref="T47:T82" si="17">(O47*4+R47*4+P47*9+Q47*9)*10</f>
        <v>3920</v>
      </c>
      <c r="V47">
        <v>12</v>
      </c>
      <c r="X47">
        <f t="shared" ref="X47:X82" si="18">IF(N47&gt;0,1,IF(M47&gt;0,FLOOR(365.26/M47,0.1),1))</f>
        <v>1</v>
      </c>
      <c r="Y47" s="3" t="b">
        <f>IF(V47&lt;5,IF(K47&gt;0,F47/K47/X47*Conversion!$E$17,0))</f>
        <v>0</v>
      </c>
      <c r="Z47" s="3">
        <f>IF(L47&gt;0,G47/L47/X47*Conversion!$E$17,0)</f>
        <v>0</v>
      </c>
      <c r="AA47" s="3">
        <f>IF(V47&gt;5,IF(K47&gt;0,F47/K47/X47*Conversion!$E$17,0))</f>
        <v>2488.6540191036056</v>
      </c>
      <c r="AB47" s="3">
        <f t="shared" ref="AB47:AB82" si="19">(Y47+Z47)*IF(U47&gt;0,U47,1)</f>
        <v>0</v>
      </c>
      <c r="AC47" s="3">
        <f>(F47*T47)/365.26/Agriculture!$D$2</f>
        <v>38.913973329673603</v>
      </c>
      <c r="AD47" s="4">
        <f>SUM(Y47:Z47)*Conversion!$F$18</f>
        <v>0</v>
      </c>
      <c r="AE47">
        <f t="shared" si="16"/>
        <v>14.8</v>
      </c>
      <c r="AF47" s="4">
        <f t="shared" si="4"/>
        <v>0</v>
      </c>
    </row>
    <row r="48" spans="1:32" ht="18">
      <c r="A48" t="s">
        <v>427</v>
      </c>
      <c r="B48">
        <v>6</v>
      </c>
      <c r="C48">
        <v>1</v>
      </c>
      <c r="D48">
        <f t="shared" ref="D48:D82" si="20">$D$46*C48/$C$46</f>
        <v>3.6259484434685145</v>
      </c>
      <c r="F48" s="3">
        <f>IF(D48&gt;0,D48*Agriculture!$D$2+Agriculture!$E$16*E48,IF(E48&gt;0,0,Agriculture!$D$2*0.025))</f>
        <v>7085.1032585374778</v>
      </c>
      <c r="G48" s="3">
        <f>L48*1/Agriculture!$C$49*Agriculture!$E$16</f>
        <v>0</v>
      </c>
      <c r="J48">
        <v>11260</v>
      </c>
      <c r="K48" s="54">
        <f>IF(I48&gt;0,I48,J48/2000*Conversion!$D$22)</f>
        <v>12620.7840053</v>
      </c>
      <c r="N48">
        <v>1</v>
      </c>
      <c r="R48">
        <v>98</v>
      </c>
      <c r="T48" s="67">
        <f t="shared" si="17"/>
        <v>3920</v>
      </c>
      <c r="V48">
        <v>8</v>
      </c>
      <c r="X48">
        <f t="shared" si="18"/>
        <v>1</v>
      </c>
      <c r="Y48" s="3" t="b">
        <f>IF(V48&lt;5,IF(K48&gt;0,F48/K48/X48*Conversion!$E$17,0))</f>
        <v>0</v>
      </c>
      <c r="Z48" s="3">
        <f>IF(L48&gt;0,G48/L48/X48*Conversion!$E$17,0)</f>
        <v>0</v>
      </c>
      <c r="AA48" s="3">
        <f>IF(V48&gt;5,IF(K48&gt;0,F48/K48/X48*Conversion!$E$17,0))</f>
        <v>5613.8376629868189</v>
      </c>
      <c r="AB48" s="3">
        <f t="shared" si="19"/>
        <v>0</v>
      </c>
      <c r="AC48" s="3">
        <f>(F48*T48)/365.26/Agriculture!$D$2</f>
        <v>38.913973329673603</v>
      </c>
      <c r="AD48" s="4">
        <f>SUM(Y48:Z48)*Conversion!$F$18</f>
        <v>0</v>
      </c>
      <c r="AE48">
        <f t="shared" si="16"/>
        <v>14.8</v>
      </c>
      <c r="AF48" s="4">
        <f t="shared" si="4"/>
        <v>0</v>
      </c>
    </row>
    <row r="49" spans="1:32" ht="18">
      <c r="A49" t="s">
        <v>449</v>
      </c>
      <c r="B49">
        <v>6</v>
      </c>
      <c r="C49">
        <v>0.1</v>
      </c>
      <c r="D49">
        <f t="shared" si="20"/>
        <v>0.36259484434685146</v>
      </c>
      <c r="F49" s="3">
        <f>IF(D49&gt;0,D49*Agriculture!$D$2+Agriculture!$E$16*E49,IF(E49&gt;0,0,Agriculture!$D$2*0.025))</f>
        <v>708.51032585374776</v>
      </c>
      <c r="G49" s="3">
        <f>L49*1/Agriculture!$C$49*Agriculture!$E$16</f>
        <v>0</v>
      </c>
      <c r="J49">
        <v>4400</v>
      </c>
      <c r="K49" s="54">
        <f>IF(I49&gt;0,I49,J49/2000*Conversion!$D$22)</f>
        <v>4931.7450820000004</v>
      </c>
      <c r="N49">
        <v>1</v>
      </c>
      <c r="T49" s="67">
        <f t="shared" si="17"/>
        <v>0</v>
      </c>
      <c r="X49">
        <f t="shared" si="18"/>
        <v>1</v>
      </c>
      <c r="Y49" s="3">
        <f>IF(V49&lt;5,IF(K49&gt;0,F49/K49/X49*Conversion!$E$17,0))</f>
        <v>1436.6320928461721</v>
      </c>
      <c r="Z49" s="3">
        <f>IF(L49&gt;0,G49/L49/X49*Conversion!$E$17,0)</f>
        <v>0</v>
      </c>
      <c r="AA49" s="3" t="b">
        <f>IF(V49&gt;5,IF(K49&gt;0,F49/K49/X49*Conversion!$E$17,0))</f>
        <v>0</v>
      </c>
      <c r="AB49" s="3">
        <f t="shared" si="19"/>
        <v>1436.6320928461721</v>
      </c>
      <c r="AC49" s="3">
        <f>(F49*T49)/365.26/Agriculture!$D$2</f>
        <v>0</v>
      </c>
      <c r="AD49" s="4">
        <f>SUM(Y49:Z49)*Conversion!$F$18</f>
        <v>0.35500615646321754</v>
      </c>
      <c r="AE49">
        <f t="shared" si="16"/>
        <v>14.8</v>
      </c>
      <c r="AF49" s="4">
        <f t="shared" si="4"/>
        <v>5.25409111565562</v>
      </c>
    </row>
    <row r="50" spans="1:32" ht="18">
      <c r="A50" t="s">
        <v>447</v>
      </c>
      <c r="B50">
        <v>6</v>
      </c>
      <c r="C50">
        <v>0.1</v>
      </c>
      <c r="D50">
        <f t="shared" si="20"/>
        <v>0.36259484434685146</v>
      </c>
      <c r="F50" s="3">
        <f>IF(D50&gt;0,D50*Agriculture!$D$2+Agriculture!$E$16*E50,IF(E50&gt;0,0,Agriculture!$D$2*0.025))</f>
        <v>708.51032585374776</v>
      </c>
      <c r="G50" s="3">
        <f>L50*1/Agriculture!$C$49*Agriculture!$E$16</f>
        <v>0</v>
      </c>
      <c r="J50">
        <v>10800</v>
      </c>
      <c r="K50" s="54">
        <f>IF(I50&gt;0,I50,J50/2000*Conversion!$D$22)</f>
        <v>12105.192474000001</v>
      </c>
      <c r="M50">
        <v>60</v>
      </c>
      <c r="O50" s="66"/>
      <c r="R50" s="66"/>
      <c r="S50" s="66"/>
      <c r="T50" s="67">
        <f t="shared" si="17"/>
        <v>0</v>
      </c>
      <c r="X50">
        <f t="shared" si="18"/>
        <v>6</v>
      </c>
      <c r="Y50" s="3">
        <f>IF(V50&lt;5,IF(K50&gt;0,F50/K50/X50*Conversion!$E$17,0))</f>
        <v>97.549092724122815</v>
      </c>
      <c r="Z50" s="3">
        <f>IF(L50&gt;0,G50/L50/X50*Conversion!$E$17,0)</f>
        <v>0</v>
      </c>
      <c r="AA50" s="3" t="b">
        <f>IF(V50&gt;5,IF(K50&gt;0,F50/K50/X50*Conversion!$E$17,0))</f>
        <v>0</v>
      </c>
      <c r="AB50" s="3">
        <f t="shared" si="19"/>
        <v>97.549092724122815</v>
      </c>
      <c r="AC50" s="3">
        <f>(F50*T50)/365.26/Agriculture!$D$2</f>
        <v>0</v>
      </c>
      <c r="AD50" s="4">
        <f>SUM(Y50:Z50)*Conversion!$F$18</f>
        <v>2.4105356303057986E-2</v>
      </c>
      <c r="AE50">
        <f t="shared" si="16"/>
        <v>14.8</v>
      </c>
      <c r="AF50" s="4">
        <f t="shared" si="4"/>
        <v>2.1405556397115491</v>
      </c>
    </row>
    <row r="51" spans="1:32" ht="18">
      <c r="A51" t="s">
        <v>364</v>
      </c>
      <c r="B51">
        <v>6</v>
      </c>
      <c r="C51">
        <v>2</v>
      </c>
      <c r="D51">
        <f t="shared" si="20"/>
        <v>7.2518968869370291</v>
      </c>
      <c r="F51" s="3">
        <f>IF(D51&gt;0,D51*Agriculture!$D$2+Agriculture!$E$16*E51,IF(E51&gt;0,0,Agriculture!$D$2*0.025))</f>
        <v>14170.206517074956</v>
      </c>
      <c r="G51" s="3">
        <f>L51*1/Agriculture!$C$49*Agriculture!$E$16</f>
        <v>0</v>
      </c>
      <c r="H51" t="s">
        <v>421</v>
      </c>
      <c r="I51">
        <v>16951</v>
      </c>
      <c r="J51">
        <v>7300</v>
      </c>
      <c r="K51" s="54">
        <f>IF(I51&gt;0,I51,J51/2000*Conversion!$D$22)</f>
        <v>16951</v>
      </c>
      <c r="M51">
        <v>150</v>
      </c>
      <c r="O51" s="66">
        <v>2.82</v>
      </c>
      <c r="P51" s="66">
        <v>0.37</v>
      </c>
      <c r="R51" s="66">
        <v>6.64</v>
      </c>
      <c r="S51" s="66">
        <v>675</v>
      </c>
      <c r="T51" s="67">
        <f t="shared" si="17"/>
        <v>411.69999999999993</v>
      </c>
      <c r="X51">
        <f t="shared" si="18"/>
        <v>2.4000000000000004</v>
      </c>
      <c r="Y51" s="3">
        <f>IF(V51&lt;5,IF(K51&gt;0,F51/K51/X51*Conversion!$E$17,0))</f>
        <v>3483.1294410051901</v>
      </c>
      <c r="Z51" s="3">
        <f>IF(L51&gt;0,G51/L51/X51*Conversion!$E$17,0)</f>
        <v>0</v>
      </c>
      <c r="AA51" s="3" t="b">
        <f>IF(V51&gt;5,IF(K51&gt;0,F51/K51/X51*Conversion!$E$17,0))</f>
        <v>0</v>
      </c>
      <c r="AB51" s="3">
        <f t="shared" si="19"/>
        <v>3483.1294410051901</v>
      </c>
      <c r="AC51" s="3">
        <f>(F51*T51)/365.26/Agriculture!$D$2</f>
        <v>8.1739198060339895</v>
      </c>
      <c r="AD51" s="4">
        <f>SUM(Y51:Z51)*Conversion!$F$18</f>
        <v>0.86071611616679244</v>
      </c>
      <c r="AE51">
        <f t="shared" si="16"/>
        <v>14.8</v>
      </c>
      <c r="AF51" s="4">
        <f t="shared" si="4"/>
        <v>30.572636446244474</v>
      </c>
    </row>
    <row r="52" spans="1:32" ht="18">
      <c r="A52" t="s">
        <v>370</v>
      </c>
      <c r="B52">
        <v>6</v>
      </c>
      <c r="C52">
        <v>1</v>
      </c>
      <c r="D52">
        <f t="shared" si="20"/>
        <v>3.6259484434685145</v>
      </c>
      <c r="F52" s="3">
        <f>IF(D52&gt;0,D52*Agriculture!$D$2+Agriculture!$E$16*E52,IF(E52&gt;0,0,Agriculture!$D$2*0.025))</f>
        <v>7085.1032585374778</v>
      </c>
      <c r="G52" s="3">
        <f>L52*1/Agriculture!$C$49*Agriculture!$E$16</f>
        <v>0</v>
      </c>
      <c r="H52" t="s">
        <v>421</v>
      </c>
      <c r="I52" s="67">
        <v>22422</v>
      </c>
      <c r="J52" s="67">
        <v>13700</v>
      </c>
      <c r="K52" s="54">
        <f>IF(I52&gt;0,I52,J52/2000*Conversion!$D$22)</f>
        <v>22422</v>
      </c>
      <c r="L52" s="67"/>
      <c r="M52" s="67">
        <v>150</v>
      </c>
      <c r="N52" s="67"/>
      <c r="O52" s="66">
        <v>1.28</v>
      </c>
      <c r="P52" s="66">
        <v>0.1</v>
      </c>
      <c r="R52" s="66">
        <v>5.8</v>
      </c>
      <c r="S52" s="66">
        <v>635</v>
      </c>
      <c r="T52" s="67">
        <f t="shared" si="17"/>
        <v>292.2</v>
      </c>
      <c r="X52">
        <f t="shared" si="18"/>
        <v>2.4000000000000004</v>
      </c>
      <c r="Y52" s="3">
        <f>IF(V52&lt;5,IF(K52&gt;0,F52/K52/X52*Conversion!$E$17,0))</f>
        <v>1316.6204431914855</v>
      </c>
      <c r="Z52" s="3">
        <f>IF(L52&gt;0,G52/L52/X52*Conversion!$E$17,0)</f>
        <v>0</v>
      </c>
      <c r="AA52" s="3" t="b">
        <f>IF(V52&gt;5,IF(K52&gt;0,F52/K52/X52*Conversion!$E$17,0))</f>
        <v>0</v>
      </c>
      <c r="AB52" s="3">
        <f t="shared" si="19"/>
        <v>1316.6204431914855</v>
      </c>
      <c r="AC52" s="3">
        <f>(F52*T52)/365.26/Agriculture!$D$2</f>
        <v>2.9006793385027105</v>
      </c>
      <c r="AD52" s="4">
        <f>SUM(Y52:Z52)*Conversion!$F$18</f>
        <v>0.32535007771704794</v>
      </c>
      <c r="AE52">
        <f t="shared" si="16"/>
        <v>14.8</v>
      </c>
      <c r="AF52" s="4">
        <f t="shared" si="4"/>
        <v>11.556434760509545</v>
      </c>
    </row>
    <row r="53" spans="1:32" ht="18">
      <c r="A53" t="s">
        <v>448</v>
      </c>
      <c r="B53">
        <v>6</v>
      </c>
      <c r="C53">
        <v>1</v>
      </c>
      <c r="D53">
        <f t="shared" si="20"/>
        <v>3.6259484434685145</v>
      </c>
      <c r="F53" s="3">
        <f>IF(D53&gt;0,D53*Agriculture!$D$2+Agriculture!$E$16*E53,IF(E53&gt;0,0,Agriculture!$D$2*0.025))</f>
        <v>7085.1032585374778</v>
      </c>
      <c r="G53" s="3">
        <f>L53*1/Agriculture!$C$49*Agriculture!$E$16</f>
        <v>0</v>
      </c>
      <c r="I53" s="67"/>
      <c r="J53" s="67">
        <v>9800</v>
      </c>
      <c r="K53" s="54">
        <f>IF(I53&gt;0,I53,J53/2000*Conversion!$D$22)</f>
        <v>10984.341319000001</v>
      </c>
      <c r="L53" s="67"/>
      <c r="M53" s="67">
        <v>150</v>
      </c>
      <c r="N53" s="67"/>
      <c r="O53" s="66"/>
      <c r="P53" s="66"/>
      <c r="Q53" s="66"/>
      <c r="R53" s="66"/>
      <c r="S53" s="67"/>
      <c r="T53" s="67">
        <f t="shared" si="17"/>
        <v>0</v>
      </c>
      <c r="X53">
        <f t="shared" si="18"/>
        <v>2.4000000000000004</v>
      </c>
      <c r="Y53" s="3">
        <f>IF(V53&lt;5,IF(K53&gt;0,F53/K53/X53*Conversion!$E$17,0))</f>
        <v>2687.5770444401178</v>
      </c>
      <c r="Z53" s="3">
        <f>IF(L53&gt;0,G53/L53/X53*Conversion!$E$17,0)</f>
        <v>0</v>
      </c>
      <c r="AA53" s="3" t="b">
        <f>IF(V53&gt;5,IF(K53&gt;0,F53/K53/X53*Conversion!$E$17,0))</f>
        <v>0</v>
      </c>
      <c r="AB53" s="3">
        <f t="shared" si="19"/>
        <v>2687.5770444401178</v>
      </c>
      <c r="AC53" s="3">
        <f>(F53*T53)/365.26/Agriculture!$D$2</f>
        <v>0</v>
      </c>
      <c r="AD53" s="4">
        <f>SUM(Y53:Z53)*Conversion!$F$18</f>
        <v>0.6641271634515975</v>
      </c>
      <c r="AE53">
        <f t="shared" si="16"/>
        <v>14.8</v>
      </c>
      <c r="AF53" s="4">
        <f t="shared" si="4"/>
        <v>23.589796845800748</v>
      </c>
    </row>
    <row r="54" spans="1:32" ht="18">
      <c r="A54" t="s">
        <v>438</v>
      </c>
      <c r="B54">
        <v>6</v>
      </c>
      <c r="C54">
        <v>2</v>
      </c>
      <c r="D54">
        <f t="shared" si="20"/>
        <v>7.2518968869370291</v>
      </c>
      <c r="F54" s="3">
        <f>IF(D54&gt;0,D54*Agriculture!$D$2+Agriculture!$E$16*E54,IF(E54&gt;0,0,Agriculture!$D$2*0.025))</f>
        <v>14170.206517074956</v>
      </c>
      <c r="G54" s="3">
        <f>L54*1/Agriculture!$C$49*Agriculture!$E$16</f>
        <v>0</v>
      </c>
      <c r="I54" s="67"/>
      <c r="J54" s="67">
        <v>19400</v>
      </c>
      <c r="K54" s="54">
        <f>IF(I54&gt;0,I54,J54/2000*Conversion!$D$22)</f>
        <v>21744.512406999998</v>
      </c>
      <c r="L54" s="67"/>
      <c r="M54" s="67">
        <v>150</v>
      </c>
      <c r="N54" s="67"/>
      <c r="O54" s="66"/>
      <c r="P54" s="66"/>
      <c r="Q54" s="66"/>
      <c r="R54" s="66"/>
      <c r="S54" s="67"/>
      <c r="T54" s="67">
        <f t="shared" si="17"/>
        <v>0</v>
      </c>
      <c r="X54">
        <f t="shared" si="18"/>
        <v>2.4000000000000004</v>
      </c>
      <c r="Y54" s="3">
        <f>IF(V54&lt;5,IF(K54&gt;0,F54/K54/X54*Conversion!$E$17,0))</f>
        <v>2715.2840242797065</v>
      </c>
      <c r="Z54" s="3">
        <f>IF(L54&gt;0,G54/L54/X54*Conversion!$E$17,0)</f>
        <v>0</v>
      </c>
      <c r="AA54" s="3" t="b">
        <f>IF(V54&gt;5,IF(K54&gt;0,F54/K54/X54*Conversion!$E$17,0))</f>
        <v>0</v>
      </c>
      <c r="AB54" s="3">
        <f t="shared" si="19"/>
        <v>2715.2840242797065</v>
      </c>
      <c r="AC54" s="3">
        <f>(F54*T54)/365.26/Agriculture!$D$2</f>
        <v>0</v>
      </c>
      <c r="AD54" s="4">
        <f>SUM(Y54:Z54)*Conversion!$F$18</f>
        <v>0.67097383523975818</v>
      </c>
      <c r="AE54">
        <f t="shared" si="16"/>
        <v>14.8</v>
      </c>
      <c r="AF54" s="4">
        <f t="shared" si="4"/>
        <v>23.832990627716214</v>
      </c>
    </row>
    <row r="55" spans="1:32" ht="18">
      <c r="A55" t="s">
        <v>443</v>
      </c>
      <c r="B55">
        <v>6</v>
      </c>
      <c r="C55">
        <v>1</v>
      </c>
      <c r="D55">
        <f t="shared" si="20"/>
        <v>3.6259484434685145</v>
      </c>
      <c r="F55" s="3">
        <f>IF(D55&gt;0,D55*Agriculture!$D$2+Agriculture!$E$16*E55,IF(E55&gt;0,0,Agriculture!$D$2*0.025))</f>
        <v>7085.1032585374778</v>
      </c>
      <c r="G55" s="3">
        <f>L55*1/Agriculture!$C$49*Agriculture!$E$16</f>
        <v>0</v>
      </c>
      <c r="I55" s="67"/>
      <c r="J55" s="67">
        <v>10800</v>
      </c>
      <c r="K55" s="54">
        <f>IF(I55&gt;0,I55,J55/2000*Conversion!$D$22)</f>
        <v>12105.192474000001</v>
      </c>
      <c r="L55" s="67"/>
      <c r="M55" s="67">
        <v>150</v>
      </c>
      <c r="N55" s="67"/>
      <c r="O55" s="66"/>
      <c r="P55" s="66"/>
      <c r="Q55" s="66"/>
      <c r="R55" s="66"/>
      <c r="S55" s="67"/>
      <c r="T55" s="67">
        <f t="shared" si="17"/>
        <v>0</v>
      </c>
      <c r="X55">
        <f t="shared" si="18"/>
        <v>2.4000000000000004</v>
      </c>
      <c r="Y55" s="3">
        <f>IF(V55&lt;5,IF(K55&gt;0,F55/K55/X55*Conversion!$E$17,0))</f>
        <v>2438.7273181030696</v>
      </c>
      <c r="Z55" s="3">
        <f>IF(L55&gt;0,G55/L55/X55*Conversion!$E$17,0)</f>
        <v>0</v>
      </c>
      <c r="AA55" s="3" t="b">
        <f>IF(V55&gt;5,IF(K55&gt;0,F55/K55/X55*Conversion!$E$17,0))</f>
        <v>0</v>
      </c>
      <c r="AB55" s="3">
        <f t="shared" si="19"/>
        <v>2438.7273181030696</v>
      </c>
      <c r="AC55" s="3">
        <f>(F55*T55)/365.26/Agriculture!$D$2</f>
        <v>0</v>
      </c>
      <c r="AD55" s="4">
        <f>SUM(Y55:Z55)*Conversion!$F$18</f>
        <v>0.60263390757644952</v>
      </c>
      <c r="AE55">
        <f t="shared" si="16"/>
        <v>14.8</v>
      </c>
      <c r="AF55" s="4">
        <f t="shared" si="4"/>
        <v>21.405556397115493</v>
      </c>
    </row>
    <row r="56" spans="1:32" ht="18">
      <c r="A56" t="s">
        <v>440</v>
      </c>
      <c r="B56">
        <v>6</v>
      </c>
      <c r="C56">
        <v>2</v>
      </c>
      <c r="D56">
        <f t="shared" si="20"/>
        <v>7.2518968869370291</v>
      </c>
      <c r="F56" s="3">
        <f>IF(D56&gt;0,D56*Agriculture!$D$2+Agriculture!$E$16*E56,IF(E56&gt;0,0,Agriculture!$D$2*0.025))</f>
        <v>14170.206517074956</v>
      </c>
      <c r="G56" s="3">
        <f>L56*1/Agriculture!$C$49*Agriculture!$E$16</f>
        <v>0</v>
      </c>
      <c r="I56" s="67"/>
      <c r="J56" s="67">
        <v>32000</v>
      </c>
      <c r="K56" s="54">
        <f>IF(I56&gt;0,I56,J56/2000*Conversion!$D$22)</f>
        <v>35867.236960000002</v>
      </c>
      <c r="L56" s="67"/>
      <c r="M56" s="67"/>
      <c r="N56" s="67"/>
      <c r="O56" s="66"/>
      <c r="P56" s="66"/>
      <c r="Q56" s="66"/>
      <c r="R56" s="66"/>
      <c r="S56" s="67"/>
      <c r="T56" s="67">
        <f t="shared" si="17"/>
        <v>0</v>
      </c>
      <c r="X56">
        <f t="shared" si="18"/>
        <v>1</v>
      </c>
      <c r="Y56" s="3">
        <f>IF(V56&lt;5,IF(K56&gt;0,F56/K56/X56*Conversion!$E$17,0))</f>
        <v>3950.7382553269736</v>
      </c>
      <c r="Z56" s="3">
        <f>IF(L56&gt;0,G56/L56/X56*Conversion!$E$17,0)</f>
        <v>0</v>
      </c>
      <c r="AA56" s="3" t="b">
        <f>IF(V56&gt;5,IF(K56&gt;0,F56/K56/X56*Conversion!$E$17,0))</f>
        <v>0</v>
      </c>
      <c r="AB56" s="3">
        <f t="shared" si="19"/>
        <v>3950.7382553269736</v>
      </c>
      <c r="AC56" s="3">
        <f>(F56*T56)/365.26/Agriculture!$D$2</f>
        <v>0</v>
      </c>
      <c r="AD56" s="4">
        <f>SUM(Y56:Z56)*Conversion!$F$18</f>
        <v>0.97626693027384837</v>
      </c>
      <c r="AE56">
        <f t="shared" si="16"/>
        <v>14.8</v>
      </c>
      <c r="AF56" s="4">
        <f t="shared" si="4"/>
        <v>14.448750568052956</v>
      </c>
    </row>
    <row r="57" spans="1:32" ht="18">
      <c r="A57" t="s">
        <v>428</v>
      </c>
      <c r="B57">
        <v>6</v>
      </c>
      <c r="C57">
        <v>1</v>
      </c>
      <c r="D57">
        <f t="shared" si="20"/>
        <v>3.6259484434685145</v>
      </c>
      <c r="F57" s="3">
        <f>IF(D57&gt;0,D57*Agriculture!$D$2+Agriculture!$E$16*E57,IF(E57&gt;0,0,Agriculture!$D$2*0.025))</f>
        <v>7085.1032585374778</v>
      </c>
      <c r="G57" s="3">
        <f>L57*1/Agriculture!$C$49*Agriculture!$E$16</f>
        <v>0</v>
      </c>
      <c r="I57" s="67"/>
      <c r="J57" s="67">
        <v>6660</v>
      </c>
      <c r="K57" s="54">
        <f>IF(I57&gt;0,I57,J57/2000*Conversion!$D$22)</f>
        <v>7464.8686923000005</v>
      </c>
      <c r="L57" s="67"/>
      <c r="M57" s="67"/>
      <c r="N57" s="67">
        <v>1</v>
      </c>
      <c r="O57" s="66"/>
      <c r="P57" s="66"/>
      <c r="Q57" s="66"/>
      <c r="R57" s="66"/>
      <c r="S57" s="67"/>
      <c r="T57" s="67">
        <f t="shared" si="17"/>
        <v>0</v>
      </c>
      <c r="X57">
        <f t="shared" si="18"/>
        <v>1</v>
      </c>
      <c r="Y57" s="3">
        <f>IF(V57&lt;5,IF(K57&gt;0,F57/K57/X57*Conversion!$E$17,0))</f>
        <v>9491.2630758605974</v>
      </c>
      <c r="Z57" s="3">
        <f>IF(L57&gt;0,G57/L57/X57*Conversion!$E$17,0)</f>
        <v>0</v>
      </c>
      <c r="AA57" s="3" t="b">
        <f>IF(V57&gt;5,IF(K57&gt;0,F57/K57/X57*Conversion!$E$17,0))</f>
        <v>0</v>
      </c>
      <c r="AB57" s="3">
        <f t="shared" si="19"/>
        <v>9491.2630758605974</v>
      </c>
      <c r="AC57" s="3">
        <f>(F57*T57)/365.26/Agriculture!$D$2</f>
        <v>0</v>
      </c>
      <c r="AD57" s="4">
        <f>SUM(Y57:Z57)*Conversion!$F$18</f>
        <v>2.3453860186759119</v>
      </c>
      <c r="AE57">
        <f t="shared" si="16"/>
        <v>14.8</v>
      </c>
      <c r="AF57" s="4">
        <f t="shared" si="4"/>
        <v>34.711713076403498</v>
      </c>
    </row>
    <row r="58" spans="1:32" ht="18">
      <c r="A58" t="s">
        <v>450</v>
      </c>
      <c r="B58">
        <v>6</v>
      </c>
      <c r="C58">
        <v>2</v>
      </c>
      <c r="D58">
        <f t="shared" si="20"/>
        <v>7.2518968869370291</v>
      </c>
      <c r="F58" s="3">
        <f>IF(D58&gt;0,D58*Agriculture!$D$2+Agriculture!$E$16*E58,IF(E58&gt;0,0,Agriculture!$D$2*0.025))</f>
        <v>14170.206517074956</v>
      </c>
      <c r="G58" s="3">
        <f>L58*1/Agriculture!$C$49*Agriculture!$E$16</f>
        <v>0</v>
      </c>
      <c r="J58">
        <v>8400</v>
      </c>
      <c r="K58" s="54">
        <f>IF(I58&gt;0,I58,J58/2000*Conversion!$D$22)</f>
        <v>9415.1497020000006</v>
      </c>
      <c r="M58">
        <v>150</v>
      </c>
      <c r="T58" s="67">
        <f t="shared" si="17"/>
        <v>0</v>
      </c>
      <c r="X58">
        <f t="shared" si="18"/>
        <v>2.4000000000000004</v>
      </c>
      <c r="Y58" s="3">
        <f>IF(V58&lt;5,IF(K58&gt;0,F58/K58/X58*Conversion!$E$17,0))</f>
        <v>6271.0131036936082</v>
      </c>
      <c r="Z58" s="3">
        <f>IF(L58&gt;0,G58/L58/X58*Conversion!$E$17,0)</f>
        <v>0</v>
      </c>
      <c r="AA58" s="3" t="b">
        <f>IF(V58&gt;5,IF(K58&gt;0,F58/K58/X58*Conversion!$E$17,0))</f>
        <v>0</v>
      </c>
      <c r="AB58" s="3">
        <f t="shared" si="19"/>
        <v>6271.0131036936082</v>
      </c>
      <c r="AC58" s="3">
        <f>(F58*T58)/365.26/Agriculture!$D$2</f>
        <v>0</v>
      </c>
      <c r="AD58" s="4">
        <f>SUM(Y58:Z58)*Conversion!$F$18</f>
        <v>1.5496300480537275</v>
      </c>
      <c r="AE58">
        <f t="shared" si="16"/>
        <v>14.8</v>
      </c>
      <c r="AF58" s="4">
        <f t="shared" si="4"/>
        <v>55.042859306868408</v>
      </c>
    </row>
    <row r="59" spans="1:32" ht="18">
      <c r="A59" t="s">
        <v>429</v>
      </c>
      <c r="B59">
        <v>6</v>
      </c>
      <c r="C59">
        <v>0</v>
      </c>
      <c r="D59">
        <f t="shared" si="20"/>
        <v>0</v>
      </c>
      <c r="F59" s="3">
        <f>IF(D59&gt;0,D59*Agriculture!$D$2+Agriculture!$E$16*E59,IF(E59&gt;0,0,Agriculture!$D$2*0.025))</f>
        <v>48.85</v>
      </c>
      <c r="G59" s="3">
        <f>L59*1/Agriculture!$C$49*Agriculture!$E$16</f>
        <v>0</v>
      </c>
      <c r="J59">
        <v>9420</v>
      </c>
      <c r="K59" s="54">
        <f>IF(I59&gt;0,I59,J59/2000*Conversion!$D$22)</f>
        <v>10558.4178801</v>
      </c>
      <c r="T59" s="67">
        <f t="shared" si="17"/>
        <v>0</v>
      </c>
      <c r="V59">
        <v>12</v>
      </c>
      <c r="X59">
        <f t="shared" si="18"/>
        <v>1</v>
      </c>
      <c r="Y59" s="3" t="b">
        <f>IF(V59&lt;5,IF(K59&gt;0,F59/K59/X59*Conversion!$E$17,0))</f>
        <v>0</v>
      </c>
      <c r="Z59" s="3">
        <f>IF(L59&gt;0,G59/L59/X59*Conversion!$E$17,0)</f>
        <v>0</v>
      </c>
      <c r="AA59" s="3">
        <f>IF(V59&gt;5,IF(K59&gt;0,F59/K59/X59*Conversion!$E$17,0))</f>
        <v>46.266401419923092</v>
      </c>
      <c r="AB59" s="3">
        <f t="shared" si="19"/>
        <v>0</v>
      </c>
      <c r="AC59" s="3">
        <f>(F59*T59)/365.26/Agriculture!$D$2</f>
        <v>0</v>
      </c>
      <c r="AD59" s="4">
        <f>SUM(Y59:Z59)*Conversion!$F$18</f>
        <v>0</v>
      </c>
      <c r="AE59">
        <f t="shared" si="16"/>
        <v>14.8</v>
      </c>
      <c r="AF59" s="4">
        <f t="shared" si="4"/>
        <v>0</v>
      </c>
    </row>
    <row r="60" spans="1:32" ht="18">
      <c r="A60" t="s">
        <v>430</v>
      </c>
      <c r="B60">
        <v>6</v>
      </c>
      <c r="C60">
        <v>0</v>
      </c>
      <c r="D60">
        <f t="shared" si="20"/>
        <v>0</v>
      </c>
      <c r="F60" s="3">
        <f>IF(D60&gt;0,D60*Agriculture!$D$2+Agriculture!$E$16*E60,IF(E60&gt;0,0,Agriculture!$D$2*0.025))</f>
        <v>48.85</v>
      </c>
      <c r="G60" s="3">
        <f>L60*1/Agriculture!$C$49*Agriculture!$E$16</f>
        <v>0</v>
      </c>
      <c r="I60" s="67"/>
      <c r="J60" s="67">
        <v>4620</v>
      </c>
      <c r="K60" s="54">
        <f>IF(I60&gt;0,I60,J60/2000*Conversion!$D$22)</f>
        <v>5178.3323361000002</v>
      </c>
      <c r="L60" s="67"/>
      <c r="M60" s="67"/>
      <c r="N60" s="67">
        <v>1</v>
      </c>
      <c r="O60" s="66"/>
      <c r="P60" s="66"/>
      <c r="Q60" s="66"/>
      <c r="R60" s="66"/>
      <c r="S60" s="66"/>
      <c r="T60" s="67">
        <f t="shared" si="17"/>
        <v>0</v>
      </c>
      <c r="V60">
        <v>12</v>
      </c>
      <c r="X60">
        <f t="shared" si="18"/>
        <v>1</v>
      </c>
      <c r="Y60" s="3" t="b">
        <f>IF(V60&lt;5,IF(K60&gt;0,F60/K60/X60*Conversion!$E$17,0))</f>
        <v>0</v>
      </c>
      <c r="Z60" s="3">
        <f>IF(L60&gt;0,G60/L60/X60*Conversion!$E$17,0)</f>
        <v>0</v>
      </c>
      <c r="AA60" s="3">
        <f>IF(V60&gt;5,IF(K60&gt;0,F60/K60/X60*Conversion!$E$17,0))</f>
        <v>94.335389908154866</v>
      </c>
      <c r="AB60" s="3">
        <f t="shared" si="19"/>
        <v>0</v>
      </c>
      <c r="AC60" s="3">
        <f>(F60*T60)/365.26/Agriculture!$D$2</f>
        <v>0</v>
      </c>
      <c r="AD60" s="4">
        <f>SUM(Y60:Z60)*Conversion!$F$18</f>
        <v>0</v>
      </c>
      <c r="AE60">
        <f t="shared" si="16"/>
        <v>14.8</v>
      </c>
      <c r="AF60" s="4">
        <f t="shared" si="4"/>
        <v>0</v>
      </c>
    </row>
    <row r="61" spans="1:32" ht="18">
      <c r="A61" t="s">
        <v>119</v>
      </c>
      <c r="B61">
        <v>6</v>
      </c>
      <c r="C61">
        <v>1</v>
      </c>
      <c r="D61">
        <f t="shared" si="20"/>
        <v>3.6259484434685145</v>
      </c>
      <c r="F61" s="3">
        <f>IF(D61&gt;0,D61*Agriculture!$D$2+Agriculture!$E$16*E61,IF(E61&gt;0,0,Agriculture!$D$2*0.025))</f>
        <v>7085.1032585374778</v>
      </c>
      <c r="G61" s="3">
        <f>L61*1/Agriculture!$C$49*Agriculture!$E$16</f>
        <v>0</v>
      </c>
      <c r="I61">
        <v>4000</v>
      </c>
      <c r="K61" s="54">
        <f>IF(I61&gt;0,I61,J61/2000*Conversion!$D$22)</f>
        <v>4000</v>
      </c>
      <c r="T61" s="67">
        <f t="shared" si="17"/>
        <v>0</v>
      </c>
      <c r="U61">
        <v>0.5</v>
      </c>
      <c r="W61">
        <v>1</v>
      </c>
      <c r="X61">
        <f t="shared" si="18"/>
        <v>1</v>
      </c>
      <c r="Y61" s="3">
        <f>IF(V61&lt;5,IF(K61&gt;0,F61/K61/X61*Conversion!$E$17,0))</f>
        <v>17712.758146343695</v>
      </c>
      <c r="Z61" s="3">
        <f>IF(L61&gt;0,G61/L61/X61*Conversion!$E$17,0)</f>
        <v>0</v>
      </c>
      <c r="AA61" s="3" t="b">
        <f>IF(V61&gt;5,IF(K61&gt;0,F61/K61/X61*Conversion!$E$17,0))</f>
        <v>0</v>
      </c>
      <c r="AB61" s="3">
        <f t="shared" si="19"/>
        <v>8856.3790731718473</v>
      </c>
      <c r="AC61" s="3">
        <f>(F61*T61)/365.26/Agriculture!$D$2</f>
        <v>0</v>
      </c>
      <c r="AD61" s="4">
        <f>SUM(Y61:Z61)*Conversion!$F$18</f>
        <v>4.3769996655429901</v>
      </c>
      <c r="AE61">
        <f t="shared" si="16"/>
        <v>14.8</v>
      </c>
      <c r="AF61" s="4">
        <f t="shared" si="4"/>
        <v>64.779595050036264</v>
      </c>
    </row>
    <row r="62" spans="1:32" ht="18">
      <c r="A62" t="s">
        <v>129</v>
      </c>
      <c r="B62">
        <v>6</v>
      </c>
      <c r="C62">
        <v>1</v>
      </c>
      <c r="D62">
        <f t="shared" si="20"/>
        <v>3.6259484434685145</v>
      </c>
      <c r="F62" s="3">
        <f>IF(D62&gt;0,D62*Agriculture!$D$2+Agriculture!$E$16*E62,IF(E62&gt;0,0,Agriculture!$D$2*0.025))</f>
        <v>7085.1032585374778</v>
      </c>
      <c r="G62" s="3">
        <f>L62*1/Agriculture!$C$49*Agriculture!$E$16</f>
        <v>0</v>
      </c>
      <c r="I62">
        <v>2000</v>
      </c>
      <c r="J62">
        <v>14770</v>
      </c>
      <c r="K62" s="54">
        <f>IF(I62&gt;0,I62,J62/2000*Conversion!$D$22)</f>
        <v>2000</v>
      </c>
      <c r="N62">
        <v>1</v>
      </c>
      <c r="R62" s="66">
        <v>98</v>
      </c>
      <c r="T62" s="67">
        <f t="shared" si="17"/>
        <v>3920</v>
      </c>
      <c r="U62">
        <v>2</v>
      </c>
      <c r="X62">
        <f t="shared" si="18"/>
        <v>1</v>
      </c>
      <c r="Y62" s="3">
        <f>IF(V62&lt;5,IF(K62&gt;0,F62/K62/X62*Conversion!$E$17,0))</f>
        <v>35425.516292687389</v>
      </c>
      <c r="Z62" s="3">
        <f>IF(L62&gt;0,G62/L62/X62*Conversion!$E$17,0)</f>
        <v>0</v>
      </c>
      <c r="AA62" s="3" t="b">
        <f>IF(V62&gt;5,IF(K62&gt;0,F62/K62/X62*Conversion!$E$17,0))</f>
        <v>0</v>
      </c>
      <c r="AB62" s="3">
        <f t="shared" si="19"/>
        <v>70851.032585374778</v>
      </c>
      <c r="AC62" s="3">
        <f>(F62*T62)/365.26/Agriculture!$D$2</f>
        <v>38.913973329673603</v>
      </c>
      <c r="AD62" s="4">
        <f>SUM(Y62:Z62)*Conversion!$F$18</f>
        <v>8.7539993310859803</v>
      </c>
      <c r="AE62">
        <f t="shared" si="16"/>
        <v>14.8</v>
      </c>
      <c r="AF62" s="4">
        <f t="shared" si="4"/>
        <v>129.55919010007253</v>
      </c>
    </row>
    <row r="63" spans="1:32" ht="18">
      <c r="A63" t="s">
        <v>431</v>
      </c>
      <c r="B63">
        <v>6</v>
      </c>
      <c r="C63">
        <v>0</v>
      </c>
      <c r="D63">
        <f t="shared" si="20"/>
        <v>0</v>
      </c>
      <c r="F63" s="3">
        <f>IF(D63&gt;0,D63*Agriculture!$D$2+Agriculture!$E$16*E63,IF(E63&gt;0,0,Agriculture!$D$2*0.025))</f>
        <v>48.85</v>
      </c>
      <c r="G63" s="3">
        <f>L63*1/Agriculture!$C$49*Agriculture!$E$16</f>
        <v>0</v>
      </c>
      <c r="I63" s="67"/>
      <c r="J63" s="67">
        <v>7860</v>
      </c>
      <c r="K63" s="54">
        <f>IF(I63&gt;0,I63,J63/2000*Conversion!$D$22)</f>
        <v>8809.8900783000008</v>
      </c>
      <c r="L63" s="67"/>
      <c r="M63" s="67"/>
      <c r="N63" s="67">
        <v>1</v>
      </c>
      <c r="O63" s="66"/>
      <c r="P63" s="66"/>
      <c r="Q63" s="66"/>
      <c r="R63" s="66"/>
      <c r="S63" s="66"/>
      <c r="T63" s="67">
        <f t="shared" si="17"/>
        <v>0</v>
      </c>
      <c r="X63">
        <f t="shared" si="18"/>
        <v>1</v>
      </c>
      <c r="Y63" s="3">
        <f>IF(V63&lt;5,IF(K63&gt;0,F63/K63/X63*Conversion!$E$17,0))</f>
        <v>55.449045976549044</v>
      </c>
      <c r="Z63" s="3">
        <f>IF(L63&gt;0,G63/L63/X63*Conversion!$E$17,0)</f>
        <v>0</v>
      </c>
      <c r="AA63" s="3" t="b">
        <f>IF(V63&gt;5,IF(K63&gt;0,F63/K63/X63*Conversion!$E$17,0))</f>
        <v>0</v>
      </c>
      <c r="AB63" s="3">
        <f t="shared" si="19"/>
        <v>55.449045976549044</v>
      </c>
      <c r="AC63" s="3">
        <f>(F63*T63)/365.26/Agriculture!$D$2</f>
        <v>0</v>
      </c>
      <c r="AD63" s="4">
        <f>SUM(Y63:Z63)*Conversion!$F$18</f>
        <v>1.3702013751265034E-2</v>
      </c>
      <c r="AE63">
        <f t="shared" si="16"/>
        <v>14.8</v>
      </c>
      <c r="AF63" s="4">
        <f t="shared" si="4"/>
        <v>0.2027898035187225</v>
      </c>
    </row>
    <row r="64" spans="1:32" ht="18">
      <c r="A64" t="s">
        <v>465</v>
      </c>
      <c r="B64">
        <v>6</v>
      </c>
      <c r="C64">
        <v>1</v>
      </c>
      <c r="D64">
        <f t="shared" si="20"/>
        <v>3.6259484434685145</v>
      </c>
      <c r="F64" s="3">
        <f>IF(D64&gt;0,D64*Agriculture!$D$2+Agriculture!$E$16*E64,IF(E64&gt;0,0,Agriculture!$D$2*0.025))</f>
        <v>7085.1032585374778</v>
      </c>
      <c r="G64" s="3">
        <f>L64*1/Agriculture!$C$49*Agriculture!$E$16</f>
        <v>0</v>
      </c>
      <c r="I64" s="67"/>
      <c r="J64" s="67"/>
      <c r="K64" s="67">
        <f>320*50</f>
        <v>16000</v>
      </c>
      <c r="M64" s="67"/>
      <c r="N64" s="67"/>
      <c r="O64" s="66"/>
      <c r="P64" s="66"/>
      <c r="Q64" s="66"/>
      <c r="R64" s="66"/>
      <c r="S64" s="66"/>
      <c r="T64" s="67">
        <f t="shared" si="17"/>
        <v>0</v>
      </c>
      <c r="V64">
        <v>12</v>
      </c>
      <c r="X64">
        <f t="shared" si="18"/>
        <v>1</v>
      </c>
      <c r="Y64" s="3" t="b">
        <f>IF(V64&lt;5,IF(K64&gt;0,F64/K64/X64*Conversion!$E$17,0))</f>
        <v>0</v>
      </c>
      <c r="Z64" s="3">
        <f>IF(L64&gt;0,G64/L64/X64*Conversion!$E$17,0)</f>
        <v>0</v>
      </c>
      <c r="AA64" s="3">
        <f>IF(V64&gt;5,IF(K64&gt;0,F64/K64/X64*Conversion!$E$17,0))</f>
        <v>4428.1895365859236</v>
      </c>
      <c r="AB64" s="3">
        <f t="shared" si="19"/>
        <v>0</v>
      </c>
      <c r="AC64" s="3">
        <f>(F64*T64)/365.26/Agriculture!$D$2</f>
        <v>0</v>
      </c>
      <c r="AD64" s="4">
        <f>SUM(Y64:Z64)*Conversion!$F$18</f>
        <v>0</v>
      </c>
      <c r="AE64">
        <f t="shared" si="16"/>
        <v>14.8</v>
      </c>
      <c r="AF64" s="4">
        <f t="shared" si="4"/>
        <v>0</v>
      </c>
    </row>
    <row r="65" spans="1:32" ht="18">
      <c r="A65" t="s">
        <v>442</v>
      </c>
      <c r="B65">
        <v>6</v>
      </c>
      <c r="C65">
        <v>2</v>
      </c>
      <c r="D65">
        <f t="shared" si="20"/>
        <v>7.2518968869370291</v>
      </c>
      <c r="F65" s="3">
        <f>IF(D65&gt;0,D65*Agriculture!$D$2+Agriculture!$E$16*E65,IF(E65&gt;0,0,Agriculture!$D$2*0.025))</f>
        <v>14170.206517074956</v>
      </c>
      <c r="G65" s="3">
        <f>L65*1/Agriculture!$C$49*Agriculture!$E$16</f>
        <v>0</v>
      </c>
      <c r="I65" s="66"/>
      <c r="J65" s="66">
        <v>9100</v>
      </c>
      <c r="K65" s="54">
        <f>IF(I65&gt;0,I65,J65/2000*Conversion!$D$22)</f>
        <v>10199.745510500001</v>
      </c>
      <c r="L65" s="66"/>
      <c r="M65" s="66">
        <v>150</v>
      </c>
      <c r="N65" s="66"/>
      <c r="O65" s="66"/>
      <c r="P65" s="66"/>
      <c r="Q65" s="66"/>
      <c r="R65" s="66"/>
      <c r="S65" s="66"/>
      <c r="T65" s="67">
        <f t="shared" si="17"/>
        <v>0</v>
      </c>
      <c r="X65">
        <f t="shared" si="18"/>
        <v>2.4000000000000004</v>
      </c>
      <c r="Y65" s="3">
        <f>IF(V65&lt;5,IF(K65&gt;0,F65/K65/X65*Conversion!$E$17,0))</f>
        <v>5788.6274803325623</v>
      </c>
      <c r="Z65" s="3">
        <f>IF(L65&gt;0,G65/L65/X65*Conversion!$E$17,0)</f>
        <v>0</v>
      </c>
      <c r="AA65" s="3" t="b">
        <f>IF(V65&gt;5,IF(K65&gt;0,F65/K65/X65*Conversion!$E$17,0))</f>
        <v>0</v>
      </c>
      <c r="AB65" s="3">
        <f t="shared" si="19"/>
        <v>5788.6274803325623</v>
      </c>
      <c r="AC65" s="3">
        <f>(F65*T65)/365.26/Agriculture!$D$2</f>
        <v>0</v>
      </c>
      <c r="AD65" s="4">
        <f>SUM(Y65:Z65)*Conversion!$F$18</f>
        <v>1.4304277366649794</v>
      </c>
      <c r="AE65">
        <f t="shared" si="16"/>
        <v>14.8</v>
      </c>
      <c r="AF65" s="4">
        <f t="shared" si="4"/>
        <v>50.808793206340077</v>
      </c>
    </row>
    <row r="66" spans="1:32" ht="18">
      <c r="A66" t="s">
        <v>466</v>
      </c>
      <c r="B66">
        <v>6</v>
      </c>
      <c r="C66">
        <v>1</v>
      </c>
      <c r="D66">
        <f t="shared" si="20"/>
        <v>3.6259484434685145</v>
      </c>
      <c r="F66" s="3">
        <f>IF(D66&gt;0,D66*Agriculture!$D$2+Agriculture!$E$16*E66,IF(E66&gt;0,0,Agriculture!$D$2*0.025))</f>
        <v>7085.1032585374778</v>
      </c>
      <c r="G66" s="3">
        <f>L66*1/Agriculture!$C$49*Agriculture!$E$16</f>
        <v>0</v>
      </c>
      <c r="I66" s="67"/>
      <c r="J66" s="67"/>
      <c r="K66" s="67">
        <f>K65</f>
        <v>10199.745510500001</v>
      </c>
      <c r="M66" s="67"/>
      <c r="N66" s="67"/>
      <c r="O66" s="66"/>
      <c r="P66" s="66"/>
      <c r="Q66" s="66"/>
      <c r="R66" s="66"/>
      <c r="S66" s="66"/>
      <c r="T66" s="67">
        <f t="shared" si="17"/>
        <v>0</v>
      </c>
      <c r="V66">
        <v>12</v>
      </c>
      <c r="X66">
        <f t="shared" si="18"/>
        <v>1</v>
      </c>
      <c r="Y66" s="3" t="b">
        <f>IF(V66&lt;5,IF(K66&gt;0,F66/K66/X66*Conversion!$E$17,0))</f>
        <v>0</v>
      </c>
      <c r="Z66" s="3">
        <f>IF(L66&gt;0,G66/L66/X66*Conversion!$E$17,0)</f>
        <v>0</v>
      </c>
      <c r="AA66" s="3">
        <f>IF(V66&gt;5,IF(K66&gt;0,F66/K66/X66*Conversion!$E$17,0))</f>
        <v>6946.3529763990746</v>
      </c>
      <c r="AB66" s="3">
        <f t="shared" si="19"/>
        <v>0</v>
      </c>
      <c r="AC66" s="3">
        <f>(F66*T66)/365.26/Agriculture!$D$2</f>
        <v>0</v>
      </c>
      <c r="AD66" s="4">
        <f>SUM(Y66:Z66)*Conversion!$F$18</f>
        <v>0</v>
      </c>
      <c r="AE66">
        <f t="shared" si="16"/>
        <v>14.8</v>
      </c>
      <c r="AF66" s="4">
        <f t="shared" si="4"/>
        <v>0</v>
      </c>
    </row>
    <row r="67" spans="1:32" ht="18">
      <c r="A67" t="s">
        <v>432</v>
      </c>
      <c r="B67">
        <v>6</v>
      </c>
      <c r="C67">
        <v>1</v>
      </c>
      <c r="D67">
        <f t="shared" si="20"/>
        <v>3.6259484434685145</v>
      </c>
      <c r="F67" s="3">
        <f>IF(D67&gt;0,D67*Agriculture!$D$2+Agriculture!$E$16*E67,IF(E67&gt;0,0,Agriculture!$D$2*0.025))</f>
        <v>7085.1032585374778</v>
      </c>
      <c r="G67" s="3">
        <f>L67*1/Agriculture!$C$49*Agriculture!$E$16</f>
        <v>0</v>
      </c>
      <c r="J67">
        <v>16080</v>
      </c>
      <c r="K67" s="54">
        <f>IF(I67&gt;0,I67,J67/2000*Conversion!$D$22)</f>
        <v>18023.2865724</v>
      </c>
      <c r="N67">
        <v>1</v>
      </c>
      <c r="O67" s="66"/>
      <c r="P67" s="66"/>
      <c r="Q67" s="66"/>
      <c r="R67" s="66"/>
      <c r="S67" s="66"/>
      <c r="T67" s="67">
        <f t="shared" si="17"/>
        <v>0</v>
      </c>
      <c r="V67">
        <v>12</v>
      </c>
      <c r="X67">
        <f t="shared" si="18"/>
        <v>1</v>
      </c>
      <c r="Y67" s="3" t="b">
        <f>IF(V67&lt;5,IF(K67&gt;0,F67/K67/X67*Conversion!$E$17,0))</f>
        <v>0</v>
      </c>
      <c r="Z67" s="3">
        <f>IF(L67&gt;0,G67/L67/X67*Conversion!$E$17,0)</f>
        <v>0</v>
      </c>
      <c r="AA67" s="3">
        <f>IF(V67&gt;5,IF(K67&gt;0,F67/K67/X67*Conversion!$E$17,0))</f>
        <v>3931.082841121367</v>
      </c>
      <c r="AB67" s="3">
        <f t="shared" si="19"/>
        <v>0</v>
      </c>
      <c r="AC67" s="3">
        <f>(F67*T67)/365.26/Agriculture!$D$2</f>
        <v>0</v>
      </c>
      <c r="AD67" s="4">
        <f>SUM(Y67:Z67)*Conversion!$F$18</f>
        <v>0</v>
      </c>
      <c r="AE67">
        <f t="shared" si="16"/>
        <v>14.8</v>
      </c>
      <c r="AF67" s="4">
        <f t="shared" si="4"/>
        <v>0</v>
      </c>
    </row>
    <row r="68" spans="1:32" ht="18">
      <c r="A68" t="s">
        <v>439</v>
      </c>
      <c r="B68">
        <v>6</v>
      </c>
      <c r="C68">
        <v>2</v>
      </c>
      <c r="D68">
        <f t="shared" si="20"/>
        <v>7.2518968869370291</v>
      </c>
      <c r="F68" s="3">
        <f>IF(D68&gt;0,D68*Agriculture!$D$2+Agriculture!$E$16*E68,IF(E68&gt;0,0,Agriculture!$D$2*0.025))</f>
        <v>14170.206517074956</v>
      </c>
      <c r="G68" s="3">
        <f>L68*1/Agriculture!$C$49*Agriculture!$E$16</f>
        <v>0</v>
      </c>
      <c r="J68">
        <v>19800</v>
      </c>
      <c r="K68" s="54">
        <f>IF(I68&gt;0,I68,J68/2000*Conversion!$D$22)</f>
        <v>22192.852869000002</v>
      </c>
      <c r="M68">
        <v>30</v>
      </c>
      <c r="O68" s="66"/>
      <c r="P68" s="66"/>
      <c r="Q68" s="66"/>
      <c r="R68" s="66"/>
      <c r="S68" s="66"/>
      <c r="T68" s="67">
        <f t="shared" si="17"/>
        <v>0</v>
      </c>
      <c r="X68">
        <f t="shared" si="18"/>
        <v>12.100000000000001</v>
      </c>
      <c r="Y68" s="3">
        <f>IF(V68&lt;5,IF(K68&gt;0,F68/K68/X68*Conversion!$E$17,0))</f>
        <v>527.68855568270783</v>
      </c>
      <c r="Z68" s="3">
        <f>IF(L68&gt;0,G68/L68/X68*Conversion!$E$17,0)</f>
        <v>0</v>
      </c>
      <c r="AA68" s="3" t="b">
        <f>IF(V68&gt;5,IF(K68&gt;0,F68/K68/X68*Conversion!$E$17,0))</f>
        <v>0</v>
      </c>
      <c r="AB68" s="3">
        <f t="shared" si="19"/>
        <v>527.68855568270783</v>
      </c>
      <c r="AC68" s="3">
        <f>(F68*T68)/365.26/Agriculture!$D$2</f>
        <v>0</v>
      </c>
      <c r="AD68" s="4">
        <f>SUM(Y68:Z68)*Conversion!$F$18</f>
        <v>0.13039711899475392</v>
      </c>
      <c r="AE68">
        <f t="shared" si="16"/>
        <v>14.8</v>
      </c>
      <c r="AF68" s="4">
        <f t="shared" si="4"/>
        <v>23.351516069580537</v>
      </c>
    </row>
    <row r="69" spans="1:32" ht="18">
      <c r="A69" t="s">
        <v>464</v>
      </c>
      <c r="B69">
        <v>6</v>
      </c>
      <c r="C69">
        <v>1</v>
      </c>
      <c r="D69">
        <f t="shared" si="20"/>
        <v>3.6259484434685145</v>
      </c>
      <c r="F69" s="3">
        <f>IF(D69&gt;0,D69*Agriculture!$D$2+Agriculture!$E$16*E69,IF(E69&gt;0,0,Agriculture!$D$2*0.025))</f>
        <v>7085.1032585374778</v>
      </c>
      <c r="G69" s="3">
        <f>L69*1/Agriculture!$C$49*Agriculture!$E$16</f>
        <v>0</v>
      </c>
      <c r="K69" s="54">
        <v>40000</v>
      </c>
      <c r="O69" s="66"/>
      <c r="P69" s="66"/>
      <c r="Q69" s="66"/>
      <c r="R69" s="66"/>
      <c r="S69" s="66"/>
      <c r="T69" s="67">
        <f t="shared" si="17"/>
        <v>0</v>
      </c>
      <c r="V69">
        <v>12</v>
      </c>
      <c r="X69">
        <f t="shared" si="18"/>
        <v>1</v>
      </c>
      <c r="Y69" s="3" t="b">
        <f>IF(V69&lt;5,IF(K69&gt;0,F69/K69/X69*Conversion!$E$17,0))</f>
        <v>0</v>
      </c>
      <c r="Z69" s="3">
        <f>IF(L69&gt;0,G69/L69/X69*Conversion!$E$17,0)</f>
        <v>0</v>
      </c>
      <c r="AA69" s="3">
        <f>IF(V69&gt;5,IF(K69&gt;0,F69/K69/X69*Conversion!$E$17,0))</f>
        <v>1771.2758146343692</v>
      </c>
      <c r="AB69" s="3">
        <f t="shared" si="19"/>
        <v>0</v>
      </c>
      <c r="AC69" s="3">
        <f>(F69*T69)/365.26/Agriculture!$D$2</f>
        <v>0</v>
      </c>
      <c r="AD69" s="4">
        <f>SUM(Y69:Z69)*Conversion!$F$18</f>
        <v>0</v>
      </c>
      <c r="AE69">
        <f t="shared" si="16"/>
        <v>14.8</v>
      </c>
      <c r="AF69" s="4">
        <f t="shared" si="4"/>
        <v>0</v>
      </c>
    </row>
    <row r="70" spans="1:32" ht="18">
      <c r="A70" t="s">
        <v>113</v>
      </c>
      <c r="B70">
        <v>6</v>
      </c>
      <c r="C70">
        <v>0</v>
      </c>
      <c r="D70">
        <f t="shared" si="20"/>
        <v>0</v>
      </c>
      <c r="F70" s="3">
        <f>IF(D70&gt;0,D70*Agriculture!$D$2+Agriculture!$E$16*E70,IF(E70&gt;0,0,Agriculture!$D$2*0.025))</f>
        <v>48.85</v>
      </c>
      <c r="G70" s="3">
        <f>L70*1/Agriculture!$C$49*Agriculture!$E$16</f>
        <v>0</v>
      </c>
      <c r="I70">
        <v>40000</v>
      </c>
      <c r="K70" s="54">
        <f>IF(I70&gt;0,I70,J70/2000*Conversion!$D$22)</f>
        <v>40000</v>
      </c>
      <c r="P70">
        <v>1</v>
      </c>
      <c r="Q70">
        <v>1</v>
      </c>
      <c r="R70">
        <v>98</v>
      </c>
      <c r="T70" s="67">
        <f t="shared" si="17"/>
        <v>4100</v>
      </c>
      <c r="U70">
        <v>4</v>
      </c>
      <c r="V70">
        <v>12</v>
      </c>
      <c r="X70">
        <f t="shared" si="18"/>
        <v>1</v>
      </c>
      <c r="Y70" s="3" t="b">
        <f>IF(V70&lt;5,IF(K70&gt;0,F70/K70/X70*Conversion!$E$17,0))</f>
        <v>0</v>
      </c>
      <c r="Z70" s="3">
        <f>IF(L70&gt;0,G70/L70/X70*Conversion!$E$17,0)</f>
        <v>0</v>
      </c>
      <c r="AA70" s="3">
        <f>IF(V70&gt;5,IF(K70&gt;0,F70/K70/X70*Conversion!$E$17,0))</f>
        <v>12.2125</v>
      </c>
      <c r="AB70" s="3">
        <f t="shared" si="19"/>
        <v>0</v>
      </c>
      <c r="AC70" s="3">
        <f>(F70*T70)/365.26/Agriculture!$D$2</f>
        <v>0.28062202266878389</v>
      </c>
      <c r="AD70" s="4">
        <f>SUM(Y70:Z70)*Conversion!$F$18</f>
        <v>0</v>
      </c>
      <c r="AE70">
        <f t="shared" si="16"/>
        <v>14.8</v>
      </c>
      <c r="AF70" s="4">
        <f t="shared" si="4"/>
        <v>0</v>
      </c>
    </row>
    <row r="71" spans="1:32" ht="18">
      <c r="A71" t="s">
        <v>480</v>
      </c>
      <c r="B71">
        <v>6</v>
      </c>
      <c r="C71">
        <v>0</v>
      </c>
      <c r="D71">
        <f t="shared" si="20"/>
        <v>0</v>
      </c>
      <c r="F71" s="3">
        <f>IF(D71&gt;0,D71*Agriculture!$D$2+Agriculture!$E$16*E71,IF(E71&gt;0,0,Agriculture!$D$2*0.025))</f>
        <v>48.85</v>
      </c>
      <c r="G71" s="3">
        <f>L71*1/Agriculture!$C$49*Agriculture!$E$16</f>
        <v>0</v>
      </c>
      <c r="I71">
        <v>1000</v>
      </c>
      <c r="K71" s="54">
        <f>IF(I71&gt;0,I71,J71/2000*Conversion!$D$22)</f>
        <v>1000</v>
      </c>
      <c r="P71">
        <v>18</v>
      </c>
      <c r="Q71">
        <v>2</v>
      </c>
      <c r="R71">
        <v>80</v>
      </c>
      <c r="T71" s="67">
        <f t="shared" si="17"/>
        <v>5000</v>
      </c>
      <c r="U71">
        <v>1</v>
      </c>
      <c r="W71">
        <v>1</v>
      </c>
      <c r="X71">
        <f t="shared" si="18"/>
        <v>1</v>
      </c>
      <c r="Y71" s="3">
        <f>IF(V71&lt;5,IF(K71&gt;0,F71/K71/X71*Conversion!$E$17,0))</f>
        <v>488.50000000000006</v>
      </c>
      <c r="Z71" s="3">
        <f>IF(L71&gt;0,G71/L71/X71*Conversion!$E$17,0)</f>
        <v>0</v>
      </c>
      <c r="AA71" s="3" t="b">
        <f>IF(V71&gt;5,IF(K71&gt;0,F71/K71/X71*Conversion!$E$17,0))</f>
        <v>0</v>
      </c>
      <c r="AB71" s="3">
        <f t="shared" si="19"/>
        <v>488.50000000000006</v>
      </c>
      <c r="AC71" s="3">
        <f>(F71*T71)/365.26/Agriculture!$D$2</f>
        <v>0.34222197886437061</v>
      </c>
      <c r="AD71" s="4">
        <f>SUM(Y71:Z71)*Conversion!$F$18</f>
        <v>0.120713235</v>
      </c>
      <c r="AE71">
        <f t="shared" si="16"/>
        <v>14.8</v>
      </c>
      <c r="AF71" s="4">
        <f t="shared" si="4"/>
        <v>1.7865558780000002</v>
      </c>
    </row>
    <row r="72" spans="1:32" ht="18">
      <c r="A72" t="s">
        <v>434</v>
      </c>
      <c r="B72">
        <v>6</v>
      </c>
      <c r="C72">
        <v>1</v>
      </c>
      <c r="D72">
        <f t="shared" si="20"/>
        <v>3.6259484434685145</v>
      </c>
      <c r="F72" s="3">
        <f>IF(D72&gt;0,D72*Agriculture!$D$2+Agriculture!$E$16*E72,IF(E72&gt;0,0,Agriculture!$D$2*0.025))</f>
        <v>7085.1032585374778</v>
      </c>
      <c r="G72" s="3">
        <f>L72*1/Agriculture!$C$49*Agriculture!$E$16</f>
        <v>0</v>
      </c>
      <c r="J72">
        <v>31400</v>
      </c>
      <c r="K72" s="54">
        <f>IF(I72&gt;0,I72,J72/2000*Conversion!$D$22)</f>
        <v>35194.726266999998</v>
      </c>
      <c r="N72">
        <v>1</v>
      </c>
      <c r="O72" s="66"/>
      <c r="P72" s="66"/>
      <c r="Q72" s="66"/>
      <c r="R72" s="66">
        <v>98</v>
      </c>
      <c r="S72" s="66"/>
      <c r="T72" s="67">
        <f t="shared" si="17"/>
        <v>3920</v>
      </c>
      <c r="V72">
        <v>12</v>
      </c>
      <c r="X72">
        <f t="shared" si="18"/>
        <v>1</v>
      </c>
      <c r="Y72" s="3" t="b">
        <f>IF(V72&lt;5,IF(K72&gt;0,F72/K72/X72*Conversion!$E$17,0))</f>
        <v>0</v>
      </c>
      <c r="Z72" s="3">
        <f>IF(L72&gt;0,G72/L72/X72*Conversion!$E$17,0)</f>
        <v>0</v>
      </c>
      <c r="AA72" s="3">
        <f>IF(V72&gt;5,IF(K72&gt;0,F72/K72/X72*Conversion!$E$17,0))</f>
        <v>2013.1150345615154</v>
      </c>
      <c r="AB72" s="3">
        <f t="shared" si="19"/>
        <v>0</v>
      </c>
      <c r="AC72" s="3">
        <f>(F72*T72)/365.26/Agriculture!$D$2</f>
        <v>38.913973329673603</v>
      </c>
      <c r="AD72" s="4">
        <f>SUM(Y72:Z72)*Conversion!$F$18</f>
        <v>0</v>
      </c>
      <c r="AE72">
        <f t="shared" si="16"/>
        <v>14.8</v>
      </c>
      <c r="AF72" s="4">
        <f t="shared" ref="AF72:AF120" si="21">X72*AD72*AE72</f>
        <v>0</v>
      </c>
    </row>
    <row r="73" spans="1:32" ht="18">
      <c r="A73" t="s">
        <v>435</v>
      </c>
      <c r="B73">
        <v>6</v>
      </c>
      <c r="C73">
        <v>1</v>
      </c>
      <c r="D73">
        <f t="shared" si="20"/>
        <v>3.6259484434685145</v>
      </c>
      <c r="F73" s="3">
        <f>IF(D73&gt;0,D73*Agriculture!$D$2+Agriculture!$E$16*E73,IF(E73&gt;0,0,Agriculture!$D$2*0.025))</f>
        <v>7085.1032585374778</v>
      </c>
      <c r="G73" s="3">
        <f>L73*1/Agriculture!$C$49*Agriculture!$E$16</f>
        <v>0</v>
      </c>
      <c r="J73">
        <v>28200</v>
      </c>
      <c r="K73" s="54">
        <f>IF(I73&gt;0,I73,J73/2000*Conversion!$D$22)</f>
        <v>31608.002571000001</v>
      </c>
      <c r="N73">
        <v>1</v>
      </c>
      <c r="O73" s="66"/>
      <c r="P73" s="66"/>
      <c r="Q73" s="66"/>
      <c r="R73" s="66">
        <v>89</v>
      </c>
      <c r="S73" s="66"/>
      <c r="T73" s="67">
        <f t="shared" si="17"/>
        <v>3560</v>
      </c>
      <c r="X73">
        <f t="shared" si="18"/>
        <v>1</v>
      </c>
      <c r="Y73" s="3">
        <f>IF(V73&lt;5,IF(K73&gt;0,F73/K73/X73*Conversion!$E$17,0))</f>
        <v>2241.5536200436732</v>
      </c>
      <c r="Z73" s="3">
        <f>IF(L73&gt;0,G73/L73/X73*Conversion!$E$17,0)</f>
        <v>0</v>
      </c>
      <c r="AA73" s="3" t="b">
        <f>IF(V73&gt;5,IF(K73&gt;0,F73/K73/X73*Conversion!$E$17,0))</f>
        <v>0</v>
      </c>
      <c r="AB73" s="3">
        <f t="shared" si="19"/>
        <v>2241.5536200436732</v>
      </c>
      <c r="AC73" s="3">
        <f>(F73*T73)/365.26/Agriculture!$D$2</f>
        <v>35.340241085111735</v>
      </c>
      <c r="AD73" s="4">
        <f>SUM(Y73:Z73)*Conversion!$F$18</f>
        <v>0.55391031504899202</v>
      </c>
      <c r="AE73">
        <f t="shared" si="16"/>
        <v>14.8</v>
      </c>
      <c r="AF73" s="4">
        <f t="shared" si="21"/>
        <v>8.1978726627250822</v>
      </c>
    </row>
    <row r="74" spans="1:32" ht="18">
      <c r="A74" t="s">
        <v>444</v>
      </c>
      <c r="B74">
        <v>6</v>
      </c>
      <c r="C74">
        <v>2</v>
      </c>
      <c r="D74">
        <f t="shared" si="20"/>
        <v>7.2518968869370291</v>
      </c>
      <c r="F74" s="3">
        <f>IF(D74&gt;0,D74*Agriculture!$D$2+Agriculture!$E$16*E74,IF(E74&gt;0,0,Agriculture!$D$2*0.025))</f>
        <v>14170.206517074956</v>
      </c>
      <c r="G74" s="3">
        <f>L74*1/Agriculture!$C$49*Agriculture!$E$16</f>
        <v>0</v>
      </c>
      <c r="J74">
        <v>6900</v>
      </c>
      <c r="K74" s="54">
        <f>IF(I74&gt;0,I74,J74/2000*Conversion!$D$22)</f>
        <v>7733.8729695000011</v>
      </c>
      <c r="M74">
        <v>150</v>
      </c>
      <c r="O74" s="66"/>
      <c r="R74" s="66"/>
      <c r="S74" s="66"/>
      <c r="T74" s="67">
        <f t="shared" si="17"/>
        <v>0</v>
      </c>
      <c r="X74">
        <f t="shared" si="18"/>
        <v>2.4000000000000004</v>
      </c>
      <c r="Y74" s="3">
        <f>IF(V74&lt;5,IF(K74&gt;0,F74/K74/X74*Conversion!$E$17,0))</f>
        <v>7634.2768218878709</v>
      </c>
      <c r="Z74" s="3">
        <f>IF(L74&gt;0,G74/L74/X74*Conversion!$E$17,0)</f>
        <v>0</v>
      </c>
      <c r="AA74" s="3" t="b">
        <f>IF(V74&gt;5,IF(K74&gt;0,F74/K74/X74*Conversion!$E$17,0))</f>
        <v>0</v>
      </c>
      <c r="AB74" s="3">
        <f t="shared" si="19"/>
        <v>7634.2768218878709</v>
      </c>
      <c r="AC74" s="3">
        <f>(F74*T74)/365.26/Agriculture!$D$2</f>
        <v>0</v>
      </c>
      <c r="AD74" s="4">
        <f>SUM(Y74:Z74)*Conversion!$F$18</f>
        <v>1.8865061454567116</v>
      </c>
      <c r="AE74">
        <f t="shared" si="16"/>
        <v>14.8</v>
      </c>
      <c r="AF74" s="4">
        <f t="shared" si="21"/>
        <v>67.008698286622405</v>
      </c>
    </row>
    <row r="75" spans="1:32" ht="18">
      <c r="A75" t="s">
        <v>388</v>
      </c>
      <c r="B75">
        <v>6</v>
      </c>
      <c r="C75">
        <v>1</v>
      </c>
      <c r="D75">
        <f t="shared" si="20"/>
        <v>3.6259484434685145</v>
      </c>
      <c r="F75" s="3">
        <f>IF(D75&gt;0,D75*Agriculture!$D$2+Agriculture!$E$16*E75,IF(E75&gt;0,0,Agriculture!$D$2*0.025))</f>
        <v>7085.1032585374778</v>
      </c>
      <c r="G75" s="3">
        <f>L75*1/Agriculture!$C$49*Agriculture!$E$16</f>
        <v>0</v>
      </c>
      <c r="H75" t="s">
        <v>421</v>
      </c>
      <c r="I75">
        <v>6368</v>
      </c>
      <c r="K75" s="54">
        <f>IF(I75&gt;0,I75,J75/2000*Conversion!$D$22)</f>
        <v>6368</v>
      </c>
      <c r="N75">
        <v>1</v>
      </c>
      <c r="O75" s="66">
        <v>1.3</v>
      </c>
      <c r="P75" s="66">
        <v>0.37</v>
      </c>
      <c r="Q75" s="66">
        <v>0</v>
      </c>
      <c r="R75" s="66">
        <v>31.98</v>
      </c>
      <c r="S75" s="66">
        <v>842</v>
      </c>
      <c r="T75" s="67">
        <f t="shared" si="17"/>
        <v>1364.5000000000002</v>
      </c>
      <c r="V75" s="66">
        <v>12</v>
      </c>
      <c r="X75">
        <f t="shared" si="18"/>
        <v>1</v>
      </c>
      <c r="Y75" s="3" t="b">
        <f>IF(V75&lt;5,IF(K75&gt;0,F75/K75/X75*Conversion!$E$17,0))</f>
        <v>0</v>
      </c>
      <c r="Z75" s="3">
        <f>IF(L75&gt;0,G75/L75/X75*Conversion!$E$17,0)</f>
        <v>0</v>
      </c>
      <c r="AA75" s="3">
        <f>IF(V75&gt;5,IF(K75&gt;0,F75/K75/X75*Conversion!$E$17,0))</f>
        <v>11126.104363281214</v>
      </c>
      <c r="AB75" s="3">
        <f t="shared" si="19"/>
        <v>0</v>
      </c>
      <c r="AC75" s="3">
        <f>(F75*T75)/365.26/Agriculture!$D$2</f>
        <v>13.545437910290723</v>
      </c>
      <c r="AD75" s="4">
        <f>SUM(Y75:Z75)*Conversion!$F$18</f>
        <v>0</v>
      </c>
      <c r="AE75">
        <f t="shared" si="16"/>
        <v>14.8</v>
      </c>
      <c r="AF75" s="4">
        <f t="shared" si="21"/>
        <v>0</v>
      </c>
    </row>
    <row r="76" spans="1:32" ht="18">
      <c r="A76" t="s">
        <v>436</v>
      </c>
      <c r="B76">
        <v>6</v>
      </c>
      <c r="C76">
        <v>1</v>
      </c>
      <c r="D76">
        <f t="shared" si="20"/>
        <v>3.6259484434685145</v>
      </c>
      <c r="F76" s="3">
        <f>IF(D76&gt;0,D76*Agriculture!$D$2+Agriculture!$E$16*E76,IF(E76&gt;0,0,Agriculture!$D$2*0.025))</f>
        <v>7085.1032585374778</v>
      </c>
      <c r="G76" s="3">
        <f>L76*1/Agriculture!$C$49*Agriculture!$E$16</f>
        <v>0</v>
      </c>
      <c r="J76">
        <v>10400</v>
      </c>
      <c r="K76" s="54">
        <f>IF(I76&gt;0,I76,J76/2000*Conversion!$D$22)</f>
        <v>11656.852012000001</v>
      </c>
      <c r="N76">
        <v>1</v>
      </c>
      <c r="O76" s="66"/>
      <c r="P76" s="66"/>
      <c r="Q76" s="66"/>
      <c r="R76" s="66">
        <v>98</v>
      </c>
      <c r="S76" s="66"/>
      <c r="T76" s="67">
        <f t="shared" si="17"/>
        <v>3920</v>
      </c>
      <c r="V76">
        <v>12</v>
      </c>
      <c r="X76">
        <f t="shared" si="18"/>
        <v>1</v>
      </c>
      <c r="Y76" s="3" t="b">
        <f>IF(V76&lt;5,IF(K76&gt;0,F76/K76/X76*Conversion!$E$17,0))</f>
        <v>0</v>
      </c>
      <c r="Z76" s="3">
        <f>IF(L76&gt;0,G76/L76/X76*Conversion!$E$17,0)</f>
        <v>0</v>
      </c>
      <c r="AA76" s="3">
        <f>IF(V76&gt;5,IF(K76&gt;0,F76/K76/X76*Conversion!$E$17,0))</f>
        <v>6078.0588543491895</v>
      </c>
      <c r="AB76" s="3">
        <f t="shared" si="19"/>
        <v>0</v>
      </c>
      <c r="AC76" s="3">
        <f>(F76*T76)/365.26/Agriculture!$D$2</f>
        <v>38.913973329673603</v>
      </c>
      <c r="AD76" s="4">
        <f>SUM(Y76:Z76)*Conversion!$F$18</f>
        <v>0</v>
      </c>
      <c r="AE76">
        <f t="shared" si="16"/>
        <v>14.8</v>
      </c>
      <c r="AF76" s="4">
        <f t="shared" si="21"/>
        <v>0</v>
      </c>
    </row>
    <row r="77" spans="1:32" ht="18">
      <c r="A77" t="s">
        <v>404</v>
      </c>
      <c r="B77">
        <v>6</v>
      </c>
      <c r="C77">
        <v>0.1</v>
      </c>
      <c r="D77">
        <f t="shared" si="20"/>
        <v>0.36259484434685146</v>
      </c>
      <c r="F77" s="3">
        <f>IF(D77&gt;0,D77*Agriculture!$D$2+Agriculture!$E$16*E77,IF(E77&gt;0,0,Agriculture!$D$2*0.025))</f>
        <v>708.51032585374776</v>
      </c>
      <c r="G77" s="3">
        <f>L77*1/Agriculture!$C$49*Agriculture!$E$16</f>
        <v>0</v>
      </c>
      <c r="I77">
        <v>42368</v>
      </c>
      <c r="K77" s="54">
        <f>IF(I77&gt;0,I77,J77/2000*Conversion!$D$22)</f>
        <v>42368</v>
      </c>
      <c r="M77">
        <v>150</v>
      </c>
      <c r="O77" s="66">
        <v>1</v>
      </c>
      <c r="P77" s="66">
        <v>0.1</v>
      </c>
      <c r="Q77" s="66">
        <v>0</v>
      </c>
      <c r="R77" s="66">
        <v>6.5</v>
      </c>
      <c r="S77" s="66">
        <v>1270</v>
      </c>
      <c r="T77" s="67">
        <f t="shared" si="17"/>
        <v>309</v>
      </c>
      <c r="X77">
        <f t="shared" si="18"/>
        <v>2.4000000000000004</v>
      </c>
      <c r="Y77" s="3">
        <f>IF(V77&lt;5,IF(K77&gt;0,F77/K77/X77*Conversion!$E$17,0))</f>
        <v>69.678208971958753</v>
      </c>
      <c r="Z77" s="3">
        <f>IF(L77&gt;0,G77/L77/X77*Conversion!$E$17,0)</f>
        <v>0</v>
      </c>
      <c r="AA77" s="3" t="b">
        <f>IF(V77&gt;5,IF(K77&gt;0,F77/K77/X77*Conversion!$E$17,0))</f>
        <v>0</v>
      </c>
      <c r="AB77" s="3">
        <f t="shared" si="19"/>
        <v>69.678208971958753</v>
      </c>
      <c r="AC77" s="3">
        <f>(F77*T77)/365.26/Agriculture!$D$2</f>
        <v>0.30674535099155975</v>
      </c>
      <c r="AD77" s="4">
        <f>SUM(Y77:Z77)*Conversion!$F$18</f>
        <v>1.7218182219060726E-2</v>
      </c>
      <c r="AE77">
        <f t="shared" si="16"/>
        <v>14.8</v>
      </c>
      <c r="AF77" s="4">
        <f t="shared" si="21"/>
        <v>0.61158983242103704</v>
      </c>
    </row>
    <row r="78" spans="1:32" ht="18">
      <c r="A78" t="s">
        <v>451</v>
      </c>
      <c r="B78">
        <v>6</v>
      </c>
      <c r="C78">
        <v>0.1</v>
      </c>
      <c r="D78">
        <f t="shared" si="20"/>
        <v>0.36259484434685146</v>
      </c>
      <c r="F78" s="3">
        <f>IF(D78&gt;0,D78*Agriculture!$D$2+Agriculture!$E$16*E78,IF(E78&gt;0,0,Agriculture!$D$2*0.025))</f>
        <v>708.51032585374776</v>
      </c>
      <c r="G78" s="3">
        <f>L78*1/Agriculture!$C$49*Agriculture!$E$16</f>
        <v>0</v>
      </c>
      <c r="J78">
        <v>12000</v>
      </c>
      <c r="K78" s="54">
        <f>IF(I78&gt;0,I78,J78/2000*Conversion!$D$22)</f>
        <v>13450.21386</v>
      </c>
      <c r="O78" s="66"/>
      <c r="P78" s="66"/>
      <c r="Q78" s="66"/>
      <c r="R78" s="66"/>
      <c r="S78" s="66"/>
      <c r="T78" s="67">
        <f t="shared" si="17"/>
        <v>0</v>
      </c>
      <c r="X78">
        <f t="shared" si="18"/>
        <v>1</v>
      </c>
      <c r="Y78" s="3">
        <f>IF(V78&lt;5,IF(K78&gt;0,F78/K78/X78*Conversion!$E$17,0))</f>
        <v>526.76510071026314</v>
      </c>
      <c r="Z78" s="3">
        <f>IF(L78&gt;0,G78/L78/X78*Conversion!$E$17,0)</f>
        <v>0</v>
      </c>
      <c r="AA78" s="3" t="b">
        <f>IF(V78&gt;5,IF(K78&gt;0,F78/K78/X78*Conversion!$E$17,0))</f>
        <v>0</v>
      </c>
      <c r="AB78" s="3">
        <f t="shared" si="19"/>
        <v>526.76510071026314</v>
      </c>
      <c r="AC78" s="3">
        <f>(F78*T78)/365.26/Agriculture!$D$2</f>
        <v>0</v>
      </c>
      <c r="AD78" s="4">
        <f>SUM(Y78:Z78)*Conversion!$F$18</f>
        <v>0.13016892403651312</v>
      </c>
      <c r="AE78">
        <f t="shared" si="16"/>
        <v>14.8</v>
      </c>
      <c r="AF78" s="4">
        <f t="shared" si="21"/>
        <v>1.9265000757403943</v>
      </c>
    </row>
    <row r="79" spans="1:32" ht="18">
      <c r="A79" t="s">
        <v>437</v>
      </c>
      <c r="B79">
        <v>6</v>
      </c>
      <c r="C79">
        <v>1</v>
      </c>
      <c r="D79">
        <f t="shared" si="20"/>
        <v>3.6259484434685145</v>
      </c>
      <c r="F79" s="3">
        <f>IF(D79&gt;0,D79*Agriculture!$D$2+Agriculture!$E$16*E79,IF(E79&gt;0,0,Agriculture!$D$2*0.025))</f>
        <v>7085.1032585374778</v>
      </c>
      <c r="G79" s="3">
        <f>L79*1/Agriculture!$C$49*Agriculture!$E$16</f>
        <v>0</v>
      </c>
      <c r="J79">
        <v>11000</v>
      </c>
      <c r="K79" s="54">
        <f>IF(I79&gt;0,I79,J79/2000*Conversion!$D$22)</f>
        <v>12329.362705000001</v>
      </c>
      <c r="M79">
        <v>150</v>
      </c>
      <c r="O79" s="66"/>
      <c r="P79" s="66"/>
      <c r="Q79" s="66"/>
      <c r="R79" s="66"/>
      <c r="S79" s="66"/>
      <c r="T79" s="67">
        <f t="shared" si="17"/>
        <v>0</v>
      </c>
      <c r="X79">
        <f t="shared" si="18"/>
        <v>2.4000000000000004</v>
      </c>
      <c r="Y79" s="3">
        <f>IF(V79&lt;5,IF(K79&gt;0,F79/K79/X79*Conversion!$E$17,0))</f>
        <v>2394.3868214102863</v>
      </c>
      <c r="Z79" s="3">
        <f>IF(L79&gt;0,G79/L79/X79*Conversion!$E$17,0)</f>
        <v>0</v>
      </c>
      <c r="AA79" s="3" t="b">
        <f>IF(V79&gt;5,IF(K79&gt;0,F79/K79/X79*Conversion!$E$17,0))</f>
        <v>0</v>
      </c>
      <c r="AB79" s="3">
        <f t="shared" si="19"/>
        <v>2394.3868214102863</v>
      </c>
      <c r="AC79" s="3">
        <f>(F79*T79)/365.26/Agriculture!$D$2</f>
        <v>0</v>
      </c>
      <c r="AD79" s="4">
        <f>SUM(Y79:Z79)*Conversion!$F$18</f>
        <v>0.59167692743869582</v>
      </c>
      <c r="AE79">
        <f t="shared" si="16"/>
        <v>14.8</v>
      </c>
      <c r="AF79" s="4">
        <f t="shared" si="21"/>
        <v>21.01636446262248</v>
      </c>
    </row>
    <row r="80" spans="1:32" ht="18">
      <c r="A80" t="s">
        <v>446</v>
      </c>
      <c r="B80">
        <v>6</v>
      </c>
      <c r="C80">
        <v>1</v>
      </c>
      <c r="D80">
        <f t="shared" si="20"/>
        <v>3.6259484434685145</v>
      </c>
      <c r="F80" s="3">
        <f>IF(D80&gt;0,D80*Agriculture!$D$2+Agriculture!$E$16*E80,IF(E80&gt;0,0,Agriculture!$D$2*0.025))</f>
        <v>7085.1032585374778</v>
      </c>
      <c r="G80" s="3">
        <f>L80*1/Agriculture!$C$49*Agriculture!$E$16</f>
        <v>0</v>
      </c>
      <c r="J80">
        <v>9700</v>
      </c>
      <c r="K80" s="54">
        <f>IF(I80&gt;0,I80,J80/2000*Conversion!$D$22)</f>
        <v>10872.256203499999</v>
      </c>
      <c r="O80" s="66"/>
      <c r="P80" s="66"/>
      <c r="Q80" s="66"/>
      <c r="R80" s="66"/>
      <c r="S80" s="66"/>
      <c r="T80" s="67">
        <f t="shared" si="17"/>
        <v>0</v>
      </c>
      <c r="X80">
        <f t="shared" si="18"/>
        <v>1</v>
      </c>
      <c r="Y80" s="3">
        <f>IF(V80&lt;5,IF(K80&gt;0,F80/K80/X80*Conversion!$E$17,0))</f>
        <v>6516.6816582712972</v>
      </c>
      <c r="Z80" s="3">
        <f>IF(L80&gt;0,G80/L80/X80*Conversion!$E$17,0)</f>
        <v>0</v>
      </c>
      <c r="AA80" s="3" t="b">
        <f>IF(V80&gt;5,IF(K80&gt;0,F80/K80/X80*Conversion!$E$17,0))</f>
        <v>0</v>
      </c>
      <c r="AB80" s="3">
        <f t="shared" si="19"/>
        <v>6516.6816582712972</v>
      </c>
      <c r="AC80" s="3">
        <f>(F80*T80)/365.26/Agriculture!$D$2</f>
        <v>0</v>
      </c>
      <c r="AD80" s="4">
        <f>SUM(Y80:Z80)*Conversion!$F$18</f>
        <v>1.6103372045754201</v>
      </c>
      <c r="AE80">
        <f t="shared" si="16"/>
        <v>14.8</v>
      </c>
      <c r="AF80" s="4">
        <f t="shared" si="21"/>
        <v>23.832990627716217</v>
      </c>
    </row>
    <row r="81" spans="1:32" ht="18">
      <c r="A81" t="s">
        <v>441</v>
      </c>
      <c r="B81">
        <v>6</v>
      </c>
      <c r="C81">
        <v>2</v>
      </c>
      <c r="D81">
        <f t="shared" si="20"/>
        <v>7.2518968869370291</v>
      </c>
      <c r="F81" s="3">
        <f>IF(D81&gt;0,D81*Agriculture!$D$2+Agriculture!$E$16*E81,IF(E81&gt;0,0,Agriculture!$D$2*0.025))</f>
        <v>14170.206517074956</v>
      </c>
      <c r="G81" s="3">
        <f>L81*1/Agriculture!$C$49*Agriculture!$E$16</f>
        <v>0</v>
      </c>
      <c r="J81">
        <v>11000</v>
      </c>
      <c r="K81" s="54">
        <f>IF(I81&gt;0,I81,J81/2000*Conversion!$D$22)</f>
        <v>12329.362705000001</v>
      </c>
      <c r="M81">
        <v>150</v>
      </c>
      <c r="O81" s="66"/>
      <c r="P81" s="66"/>
      <c r="Q81" s="66"/>
      <c r="R81" s="66"/>
      <c r="S81" s="66"/>
      <c r="T81" s="67">
        <f t="shared" si="17"/>
        <v>0</v>
      </c>
      <c r="X81">
        <f t="shared" si="18"/>
        <v>2.4000000000000004</v>
      </c>
      <c r="Y81" s="3">
        <f>IF(V81&lt;5,IF(K81&gt;0,F81/K81/X81*Conversion!$E$17,0))</f>
        <v>4788.7736428205726</v>
      </c>
      <c r="Z81" s="3">
        <f>IF(L81&gt;0,G81/L81/X81*Conversion!$E$17,0)</f>
        <v>0</v>
      </c>
      <c r="AA81" s="3" t="b">
        <f>IF(V81&gt;5,IF(K81&gt;0,F81/K81/X81*Conversion!$E$17,0))</f>
        <v>0</v>
      </c>
      <c r="AB81" s="3">
        <f t="shared" si="19"/>
        <v>4788.7736428205726</v>
      </c>
      <c r="AC81" s="3">
        <f>(F81*T81)/365.26/Agriculture!$D$2</f>
        <v>0</v>
      </c>
      <c r="AD81" s="4">
        <f>SUM(Y81:Z81)*Conversion!$F$18</f>
        <v>1.1833538548773916</v>
      </c>
      <c r="AE81">
        <f t="shared" si="16"/>
        <v>14.8</v>
      </c>
      <c r="AF81" s="4">
        <f t="shared" si="21"/>
        <v>42.03272892524496</v>
      </c>
    </row>
    <row r="82" spans="1:32" ht="18">
      <c r="A82" t="s">
        <v>452</v>
      </c>
      <c r="B82">
        <v>6</v>
      </c>
      <c r="C82">
        <v>1</v>
      </c>
      <c r="D82">
        <f t="shared" si="20"/>
        <v>3.6259484434685145</v>
      </c>
      <c r="F82" s="3">
        <f>IF(D82&gt;0,D82*Agriculture!$D$2+Agriculture!$E$16*E82,IF(E82&gt;0,0,Agriculture!$D$2*0.025))</f>
        <v>7085.1032585374778</v>
      </c>
      <c r="G82" s="3">
        <f>L82*1/Agriculture!$C$49*Agriculture!$E$16</f>
        <v>0</v>
      </c>
      <c r="J82">
        <v>10300</v>
      </c>
      <c r="K82" s="54">
        <f>IF(I82&gt;0,I82,J82/2000*Conversion!$D$22)</f>
        <v>11544.766896500001</v>
      </c>
      <c r="M82">
        <v>150</v>
      </c>
      <c r="T82" s="67">
        <f t="shared" si="17"/>
        <v>0</v>
      </c>
      <c r="X82">
        <f t="shared" si="18"/>
        <v>2.4000000000000004</v>
      </c>
      <c r="Y82" s="3">
        <f>IF(V82&lt;5,IF(K82&gt;0,F82/K82/X82*Conversion!$E$17,0))</f>
        <v>2557.1121393702092</v>
      </c>
      <c r="Z82" s="3">
        <f>IF(L82&gt;0,G82/L82/X82*Conversion!$E$17,0)</f>
        <v>0</v>
      </c>
      <c r="AA82" s="3" t="b">
        <f>IF(V82&gt;5,IF(K82&gt;0,F82/K82/X82*Conversion!$E$17,0))</f>
        <v>0</v>
      </c>
      <c r="AB82" s="3">
        <f t="shared" si="19"/>
        <v>2557.1121393702092</v>
      </c>
      <c r="AC82" s="3">
        <f>(F82*T82)/365.26/Agriculture!$D$2</f>
        <v>0</v>
      </c>
      <c r="AD82" s="4">
        <f>SUM(Y82:Z82)*Conversion!$F$18</f>
        <v>0.63188798075977237</v>
      </c>
      <c r="AE82">
        <f t="shared" si="16"/>
        <v>14.8</v>
      </c>
      <c r="AF82" s="4">
        <f t="shared" si="21"/>
        <v>22.444661076587117</v>
      </c>
    </row>
    <row r="83" spans="1:32" ht="18">
      <c r="F83" s="3"/>
      <c r="G83" s="3"/>
      <c r="K83" s="54"/>
      <c r="O83" s="66"/>
      <c r="P83" s="66"/>
      <c r="Q83" s="66"/>
      <c r="R83" s="66"/>
      <c r="S83" s="66"/>
      <c r="T83" s="67"/>
      <c r="Y83" s="3"/>
      <c r="Z83" s="3"/>
      <c r="AA83" s="3"/>
      <c r="AB83" s="3"/>
      <c r="AC83" s="3"/>
      <c r="AD83" s="4">
        <f>SUM(Y83:Z83)*Conversion!$F$18</f>
        <v>0</v>
      </c>
      <c r="AE83">
        <f t="shared" si="16"/>
        <v>14.8</v>
      </c>
      <c r="AF83" s="4">
        <f t="shared" si="21"/>
        <v>0</v>
      </c>
    </row>
    <row r="84" spans="1:32" ht="18">
      <c r="A84" t="str">
        <f>Agriculture!B30</f>
        <v>Starchy Root</v>
      </c>
      <c r="B84">
        <f>COUNT(B85:B87)</f>
        <v>3</v>
      </c>
      <c r="C84">
        <f>SUM(C85:C87)</f>
        <v>2</v>
      </c>
      <c r="D84">
        <f>Agriculture!G30</f>
        <v>53.609219638242898</v>
      </c>
      <c r="F84" s="3"/>
      <c r="G84" s="3"/>
      <c r="K84" s="54"/>
      <c r="O84" s="66"/>
      <c r="P84" s="66"/>
      <c r="Q84" s="66"/>
      <c r="R84" s="66"/>
      <c r="S84" s="66"/>
      <c r="T84" s="67"/>
      <c r="Y84" s="3"/>
      <c r="Z84" s="3"/>
      <c r="AA84" s="3"/>
      <c r="AB84" s="3"/>
      <c r="AC84" s="3"/>
      <c r="AD84" s="4">
        <f>SUM(Y84:Z84)*Conversion!$F$18</f>
        <v>0</v>
      </c>
      <c r="AE84">
        <f t="shared" si="16"/>
        <v>14.8</v>
      </c>
      <c r="AF84" s="4">
        <f t="shared" si="21"/>
        <v>0</v>
      </c>
    </row>
    <row r="85" spans="1:32" ht="18">
      <c r="A85" t="s">
        <v>107</v>
      </c>
      <c r="B85">
        <v>7</v>
      </c>
      <c r="C85">
        <v>1</v>
      </c>
      <c r="D85">
        <f>$D$84*C85/$C$84</f>
        <v>26.804609819121449</v>
      </c>
      <c r="F85" s="3">
        <f>IF(D85&gt;0,D85*Agriculture!$D$2+Agriculture!$E$16*E85,IF(E85&gt;0,0,Agriculture!$D$2*0.025))</f>
        <v>52376.207586563309</v>
      </c>
      <c r="G85" s="3">
        <f>L85*1/Agriculture!$C$49*Agriculture!$E$16</f>
        <v>0</v>
      </c>
      <c r="H85" t="s">
        <v>421</v>
      </c>
      <c r="I85">
        <v>17268</v>
      </c>
      <c r="J85">
        <v>15200</v>
      </c>
      <c r="K85" s="54">
        <f>IF(I85&gt;0,I85,J85/2000*Conversion!$D$22)</f>
        <v>17268</v>
      </c>
      <c r="M85">
        <v>150</v>
      </c>
      <c r="O85" s="66">
        <v>2</v>
      </c>
      <c r="P85" s="66">
        <v>0.09</v>
      </c>
      <c r="Q85" s="66">
        <v>0</v>
      </c>
      <c r="R85" s="66">
        <v>17.47</v>
      </c>
      <c r="S85" s="66">
        <v>1318</v>
      </c>
      <c r="T85" s="67">
        <f>(O85*4+R85*4+P85*9+Q85*9)*10</f>
        <v>786.9</v>
      </c>
      <c r="U85">
        <v>0.5</v>
      </c>
      <c r="W85">
        <v>1</v>
      </c>
      <c r="X85">
        <f>IF(N85&gt;0,1,IF(M85&gt;0,FLOOR(365.26/M85,0.1),1))</f>
        <v>2.4000000000000004</v>
      </c>
      <c r="Y85" s="3">
        <f>IF(V85&lt;5,IF(K85&gt;0,F85/K85/X85*Conversion!$E$17,0))</f>
        <v>12638.070319512803</v>
      </c>
      <c r="Z85" s="3">
        <f>IF(L85&gt;0,G85/L85/X85*Conversion!$E$17,0)</f>
        <v>0</v>
      </c>
      <c r="AA85" s="3" t="b">
        <f>IF(V85&gt;5,IF(K85&gt;0,F85/K85/X85*Conversion!$E$17,0))</f>
        <v>0</v>
      </c>
      <c r="AB85" s="3">
        <f>(Y85+Z85)*IF(U85&gt;0,U85,1)</f>
        <v>6319.0351597564013</v>
      </c>
      <c r="AC85" s="3">
        <f>(F85*T85)/365.26/Agriculture!$D$2</f>
        <v>57.746666666666663</v>
      </c>
      <c r="AD85" s="4">
        <f>SUM(Y85:Z85)*Conversion!$F$18</f>
        <v>3.1229935566548086</v>
      </c>
      <c r="AE85">
        <f t="shared" si="16"/>
        <v>14.8</v>
      </c>
      <c r="AF85" s="4">
        <f t="shared" si="21"/>
        <v>110.92873113237883</v>
      </c>
    </row>
    <row r="86" spans="1:32" ht="18">
      <c r="A86" t="s">
        <v>399</v>
      </c>
      <c r="B86">
        <v>7</v>
      </c>
      <c r="C86">
        <v>1</v>
      </c>
      <c r="D86">
        <f t="shared" ref="D86:D87" si="22">$D$84*C86/$C$84</f>
        <v>26.804609819121449</v>
      </c>
      <c r="F86" s="3">
        <f>IF(D86&gt;0,D86*Agriculture!$D$2+Agriculture!$E$16*E86,IF(E86&gt;0,0,Agriculture!$D$2*0.025))</f>
        <v>52376.207586563309</v>
      </c>
      <c r="G86" s="3">
        <f>L86*1/Agriculture!$C$49*Agriculture!$E$16</f>
        <v>0</v>
      </c>
      <c r="H86" t="s">
        <v>421</v>
      </c>
      <c r="I86">
        <v>13467</v>
      </c>
      <c r="J86">
        <v>6000</v>
      </c>
      <c r="K86" s="54">
        <f>IF(I86&gt;0,I86,J86/2000*Conversion!$D$22)</f>
        <v>13467</v>
      </c>
      <c r="M86">
        <v>150</v>
      </c>
      <c r="O86" s="66">
        <v>1.57</v>
      </c>
      <c r="P86" s="66">
        <v>0.05</v>
      </c>
      <c r="Q86" s="66">
        <v>0</v>
      </c>
      <c r="R86" s="66">
        <v>20.12</v>
      </c>
      <c r="S86" s="66">
        <v>1140</v>
      </c>
      <c r="T86" s="67">
        <f>(O86*4+R86*4+P86*9+Q86*9)*10</f>
        <v>872.10000000000014</v>
      </c>
      <c r="X86">
        <f>IF(N86&gt;0,1,IF(M86&gt;0,FLOOR(365.26/M86,0.1),1))</f>
        <v>2.4000000000000004</v>
      </c>
      <c r="Y86" s="3">
        <f>IF(V86&lt;5,IF(K86&gt;0,F86/K86/X86*Conversion!$E$17,0))</f>
        <v>16205.108656519425</v>
      </c>
      <c r="Z86" s="3">
        <f>IF(L86&gt;0,G86/L86/X86*Conversion!$E$17,0)</f>
        <v>0</v>
      </c>
      <c r="AA86" s="3" t="b">
        <f>IF(V86&gt;5,IF(K86&gt;0,F86/K86/X86*Conversion!$E$17,0))</f>
        <v>0</v>
      </c>
      <c r="AB86" s="3">
        <f>(Y86+Z86)*IF(U86&gt;0,U86,1)</f>
        <v>16205.108656519425</v>
      </c>
      <c r="AC86" s="3">
        <f>(F86*T86)/365.26/Agriculture!$D$2</f>
        <v>63.999069767441874</v>
      </c>
      <c r="AD86" s="4">
        <f>SUM(Y86:Z86)*Conversion!$F$18</f>
        <v>4.004444400112515</v>
      </c>
      <c r="AE86">
        <f t="shared" si="16"/>
        <v>14.8</v>
      </c>
      <c r="AF86" s="4">
        <f t="shared" si="21"/>
        <v>142.23786509199655</v>
      </c>
    </row>
    <row r="87" spans="1:32" ht="18">
      <c r="A87" t="s">
        <v>403</v>
      </c>
      <c r="B87">
        <v>7</v>
      </c>
      <c r="C87">
        <v>0</v>
      </c>
      <c r="D87">
        <f t="shared" si="22"/>
        <v>0</v>
      </c>
      <c r="F87" s="3">
        <f>IF(D87&gt;0,D87*Agriculture!$D$2+Agriculture!$E$16*E87,IF(E87&gt;0,0,Agriculture!$D$2*0.025))</f>
        <v>48.85</v>
      </c>
      <c r="G87" s="3">
        <f>L87*1/Agriculture!$C$49*Agriculture!$E$16</f>
        <v>0</v>
      </c>
      <c r="I87">
        <v>10497</v>
      </c>
      <c r="K87" s="54">
        <f>IF(I87&gt;0,I87,J87/2000*Conversion!$D$22)</f>
        <v>10497</v>
      </c>
      <c r="M87">
        <v>150</v>
      </c>
      <c r="O87" s="66">
        <v>1.53</v>
      </c>
      <c r="P87" s="66">
        <v>0.17</v>
      </c>
      <c r="Q87" s="66">
        <v>0</v>
      </c>
      <c r="R87" s="66">
        <v>27.88</v>
      </c>
      <c r="S87" s="66">
        <v>1215</v>
      </c>
      <c r="T87" s="67">
        <f>(O87*4+R87*4+P87*9+Q87*9)*10</f>
        <v>1191.7</v>
      </c>
      <c r="X87">
        <f>IF(N87&gt;0,1,IF(M87&gt;0,FLOOR(365.26/M87,0.1),1))</f>
        <v>2.4000000000000004</v>
      </c>
      <c r="Y87" s="3">
        <f>IF(V87&lt;5,IF(K87&gt;0,F87/K87/X87*Conversion!$E$17,0))</f>
        <v>19.390460766568225</v>
      </c>
      <c r="Z87" s="3">
        <f>IF(L87&gt;0,G87/L87/X87*Conversion!$E$17,0)</f>
        <v>0</v>
      </c>
      <c r="AA87" s="3" t="b">
        <f>IF(V87&gt;5,IF(K87&gt;0,F87/K87/X87*Conversion!$E$17,0))</f>
        <v>0</v>
      </c>
      <c r="AB87" s="3">
        <f>(Y87+Z87)*IF(U87&gt;0,U87,1)</f>
        <v>19.390460766568225</v>
      </c>
      <c r="AC87" s="3">
        <f>(F87*T87)/365.26/Agriculture!$D$2</f>
        <v>8.1565186442534091E-2</v>
      </c>
      <c r="AD87" s="4">
        <f>SUM(Y87:Z87)*Conversion!$F$18</f>
        <v>4.7915767600266741E-3</v>
      </c>
      <c r="AE87">
        <f t="shared" ref="AE87:AE120" si="23">1.5+9.4+3.9</f>
        <v>14.8</v>
      </c>
      <c r="AF87" s="4">
        <f t="shared" si="21"/>
        <v>0.17019680651614749</v>
      </c>
    </row>
    <row r="88" spans="1:32" ht="18">
      <c r="F88" s="3"/>
      <c r="G88" s="3"/>
      <c r="K88" s="54"/>
      <c r="O88" s="66"/>
      <c r="P88" s="66"/>
      <c r="Q88" s="66"/>
      <c r="R88" s="66"/>
      <c r="S88" s="66"/>
      <c r="T88" s="67"/>
      <c r="Y88" s="3"/>
      <c r="Z88" s="3"/>
      <c r="AA88" s="3"/>
      <c r="AB88" s="3"/>
      <c r="AC88" s="3"/>
      <c r="AD88" s="4">
        <f>SUM(Y88:Z88)*Conversion!$F$18</f>
        <v>0</v>
      </c>
      <c r="AE88">
        <f t="shared" si="23"/>
        <v>14.8</v>
      </c>
      <c r="AF88" s="4">
        <f t="shared" si="21"/>
        <v>0</v>
      </c>
    </row>
    <row r="89" spans="1:32" ht="18">
      <c r="A89" t="str">
        <f>Agriculture!B31</f>
        <v>Pulses</v>
      </c>
      <c r="B89">
        <f>COUNT(B90:B99)</f>
        <v>10</v>
      </c>
      <c r="C89">
        <f>SUM(C90:C99)</f>
        <v>2.5</v>
      </c>
      <c r="D89">
        <f>Agriculture!G31</f>
        <v>19.916440329218108</v>
      </c>
      <c r="F89" s="3"/>
      <c r="G89" s="3"/>
      <c r="K89" s="54"/>
      <c r="O89" s="66"/>
      <c r="P89" s="66"/>
      <c r="Q89" s="66"/>
      <c r="R89" s="66"/>
      <c r="S89" s="66"/>
      <c r="T89" s="67"/>
      <c r="Y89" s="3"/>
      <c r="Z89" s="3"/>
      <c r="AA89" s="3"/>
      <c r="AB89" s="3"/>
      <c r="AC89" s="3"/>
      <c r="AD89" s="4">
        <f>SUM(Y89:Z89)*Conversion!$F$18</f>
        <v>0</v>
      </c>
      <c r="AE89">
        <f t="shared" si="23"/>
        <v>14.8</v>
      </c>
      <c r="AF89" s="4">
        <f t="shared" si="21"/>
        <v>0</v>
      </c>
    </row>
    <row r="90" spans="1:32" ht="18">
      <c r="A90" t="s">
        <v>456</v>
      </c>
      <c r="B90">
        <v>8</v>
      </c>
      <c r="C90">
        <v>1</v>
      </c>
      <c r="D90">
        <f>$D$89*C90/$C$89</f>
        <v>7.9665761316872432</v>
      </c>
      <c r="F90" s="3">
        <f>IF(D90&gt;0,D90*Agriculture!$D$2+Agriculture!$E$16*E90,IF(E90&gt;0,0,Agriculture!$D$2*0.025))</f>
        <v>15566.689761316873</v>
      </c>
      <c r="G90" s="3">
        <f>L90*1/Agriculture!$C$49*Agriculture!$E$16</f>
        <v>0</v>
      </c>
      <c r="H90" t="s">
        <v>421</v>
      </c>
      <c r="I90">
        <v>729</v>
      </c>
      <c r="K90" s="54">
        <f>IF(I90&gt;0,I90,J90/2000*Conversion!$D$22)</f>
        <v>729</v>
      </c>
      <c r="M90">
        <v>60</v>
      </c>
      <c r="O90" s="66">
        <v>22</v>
      </c>
      <c r="P90">
        <v>0.81</v>
      </c>
      <c r="R90" s="66">
        <v>57.45</v>
      </c>
      <c r="S90" s="66">
        <v>229</v>
      </c>
      <c r="T90" s="67">
        <f t="shared" ref="T90:T99" si="24">(O90*4+R90*4+P90*9+Q90*9)*10</f>
        <v>3250.9000000000005</v>
      </c>
      <c r="X90">
        <f t="shared" ref="X90:X99" si="25">IF(N90&gt;0,1,IF(M90&gt;0,FLOOR(365.26/M90,0.1),1))</f>
        <v>6</v>
      </c>
      <c r="Y90" s="3">
        <f>IF(V90&lt;5,IF(K90&gt;0,F90/K90/X90*Conversion!$E$17,0))</f>
        <v>35589.139829256681</v>
      </c>
      <c r="Z90" s="3">
        <f>IF(L90&gt;0,G90/L90/X90*Conversion!$E$17,0)</f>
        <v>0</v>
      </c>
      <c r="AA90" s="3" t="b">
        <f>IF(V90&gt;5,IF(K90&gt;0,F90/K90/X90*Conversion!$E$17,0))</f>
        <v>0</v>
      </c>
      <c r="AB90" s="3">
        <f t="shared" ref="AB90:AB99" si="26">(Y90+Z90)*IF(U90&gt;0,U90,1)</f>
        <v>35589.139829256681</v>
      </c>
      <c r="AC90" s="3">
        <f>(F90*T90)/365.26/Agriculture!$D$2</f>
        <v>70.904403292181087</v>
      </c>
      <c r="AD90" s="4">
        <f>SUM(Y90:Z90)*Conversion!$F$18</f>
        <v>8.7944323432076175</v>
      </c>
      <c r="AE90">
        <f t="shared" ref="AE90:AE99" si="27">24.4+12+4.7+9.4+6</f>
        <v>56.5</v>
      </c>
      <c r="AF90" s="4">
        <f t="shared" si="21"/>
        <v>2981.3125643473822</v>
      </c>
    </row>
    <row r="91" spans="1:32" ht="18">
      <c r="A91" t="s">
        <v>453</v>
      </c>
      <c r="B91">
        <v>8</v>
      </c>
      <c r="C91">
        <v>0</v>
      </c>
      <c r="D91">
        <f t="shared" ref="D91:D99" si="28">$D$89*C91/$C$89</f>
        <v>0</v>
      </c>
      <c r="F91" s="3">
        <f>IF(D91&gt;0,D91*Agriculture!$D$2+Agriculture!$E$16*E91,IF(E91&gt;0,0,Agriculture!$D$2*0.025))</f>
        <v>48.85</v>
      </c>
      <c r="G91" s="3">
        <f>L91*1/Agriculture!$C$49*Agriculture!$E$16</f>
        <v>0</v>
      </c>
      <c r="J91">
        <v>1400</v>
      </c>
      <c r="K91" s="54">
        <f>IF(I91&gt;0,I91,J91/2000*Conversion!$D$22)</f>
        <v>1569.191617</v>
      </c>
      <c r="M91">
        <v>60</v>
      </c>
      <c r="O91" s="66"/>
      <c r="R91" s="66"/>
      <c r="S91" s="66"/>
      <c r="T91" s="67">
        <f t="shared" si="24"/>
        <v>0</v>
      </c>
      <c r="X91">
        <f t="shared" si="25"/>
        <v>6</v>
      </c>
      <c r="Y91" s="3">
        <f>IF(V91&lt;5,IF(K91&gt;0,F91/K91/X91*Conversion!$E$17,0))</f>
        <v>51.884464449485186</v>
      </c>
      <c r="Z91" s="3">
        <f>IF(L91&gt;0,G91/L91/X91*Conversion!$E$17,0)</f>
        <v>0</v>
      </c>
      <c r="AA91" s="3" t="b">
        <f>IF(V91&gt;5,IF(K91&gt;0,F91/K91/X91*Conversion!$E$17,0))</f>
        <v>0</v>
      </c>
      <c r="AB91" s="3">
        <f t="shared" si="26"/>
        <v>51.884464449485186</v>
      </c>
      <c r="AC91" s="3">
        <f>(F91*T91)/365.26/Agriculture!$D$2</f>
        <v>0</v>
      </c>
      <c r="AD91" s="4">
        <f>SUM(Y91:Z91)*Conversion!$F$18</f>
        <v>1.2821170010112284E-2</v>
      </c>
      <c r="AE91">
        <f t="shared" si="27"/>
        <v>56.5</v>
      </c>
      <c r="AF91" s="4">
        <f t="shared" si="21"/>
        <v>4.346376633428064</v>
      </c>
    </row>
    <row r="92" spans="1:32" ht="18">
      <c r="A92" t="s">
        <v>454</v>
      </c>
      <c r="B92">
        <v>8</v>
      </c>
      <c r="D92">
        <f t="shared" si="28"/>
        <v>0</v>
      </c>
      <c r="F92" s="3">
        <f>IF(D92&gt;0,D92*Agriculture!$D$2+Agriculture!$E$16*E92,IF(E92&gt;0,0,Agriculture!$D$2*0.025))</f>
        <v>48.85</v>
      </c>
      <c r="G92" s="3">
        <f>L92*1/Agriculture!$C$49*Agriculture!$E$16</f>
        <v>0</v>
      </c>
      <c r="J92">
        <v>4600</v>
      </c>
      <c r="K92" s="54">
        <f>IF(I92&gt;0,I92,J92/2000*Conversion!$D$22)</f>
        <v>5155.9153129999995</v>
      </c>
      <c r="M92">
        <v>60</v>
      </c>
      <c r="O92" s="66"/>
      <c r="R92" s="66"/>
      <c r="S92" s="66"/>
      <c r="T92" s="67">
        <f t="shared" si="24"/>
        <v>0</v>
      </c>
      <c r="X92">
        <f t="shared" si="25"/>
        <v>6</v>
      </c>
      <c r="Y92" s="3">
        <f>IF(V92&lt;5,IF(K92&gt;0,F92/K92/X92*Conversion!$E$17,0))</f>
        <v>15.790923962886797</v>
      </c>
      <c r="Z92" s="3">
        <f>IF(L92&gt;0,G92/L92/X92*Conversion!$E$17,0)</f>
        <v>0</v>
      </c>
      <c r="AA92" s="3" t="b">
        <f>IF(V92&gt;5,IF(K92&gt;0,F92/K92/X92*Conversion!$E$17,0))</f>
        <v>0</v>
      </c>
      <c r="AB92" s="3">
        <f t="shared" si="26"/>
        <v>15.790923962886797</v>
      </c>
      <c r="AC92" s="3">
        <f>(F92*T92)/365.26/Agriculture!$D$2</f>
        <v>0</v>
      </c>
      <c r="AD92" s="4">
        <f>SUM(Y92:Z92)*Conversion!$F$18</f>
        <v>3.9020952204689564E-3</v>
      </c>
      <c r="AE92">
        <f t="shared" si="27"/>
        <v>56.5</v>
      </c>
      <c r="AF92" s="4">
        <f t="shared" si="21"/>
        <v>1.3228102797389762</v>
      </c>
    </row>
    <row r="93" spans="1:32" ht="18">
      <c r="A93" t="s">
        <v>455</v>
      </c>
      <c r="B93">
        <v>8</v>
      </c>
      <c r="C93">
        <v>0</v>
      </c>
      <c r="D93">
        <f t="shared" si="28"/>
        <v>0</v>
      </c>
      <c r="F93" s="3">
        <f>IF(D93&gt;0,D93*Agriculture!$D$2+Agriculture!$E$16*E93,IF(E93&gt;0,0,Agriculture!$D$2*0.025))</f>
        <v>48.85</v>
      </c>
      <c r="G93" s="3">
        <f>L93*1/Agriculture!$C$49*Agriculture!$E$16</f>
        <v>0</v>
      </c>
      <c r="H93" t="s">
        <v>421</v>
      </c>
      <c r="I93">
        <v>6918</v>
      </c>
      <c r="K93" s="54">
        <f>IF(I93&gt;0,I93,J93/2000*Conversion!$D$22)</f>
        <v>6918</v>
      </c>
      <c r="M93">
        <v>60</v>
      </c>
      <c r="O93" s="66">
        <v>1.83</v>
      </c>
      <c r="P93">
        <v>0.22</v>
      </c>
      <c r="R93" s="66">
        <v>6.97</v>
      </c>
      <c r="S93" s="66">
        <v>249</v>
      </c>
      <c r="T93" s="67">
        <f t="shared" si="24"/>
        <v>371.8</v>
      </c>
      <c r="X93">
        <f t="shared" si="25"/>
        <v>6</v>
      </c>
      <c r="Y93" s="3">
        <f>IF(V93&lt;5,IF(K93&gt;0,F93/K93/X93*Conversion!$E$17,0))</f>
        <v>11.768815649995181</v>
      </c>
      <c r="Z93" s="3">
        <f>IF(L93&gt;0,G93/L93/X93*Conversion!$E$17,0)</f>
        <v>0</v>
      </c>
      <c r="AA93" s="3" t="b">
        <f>IF(V93&gt;5,IF(K93&gt;0,F93/K93/X93*Conversion!$E$17,0))</f>
        <v>0</v>
      </c>
      <c r="AB93" s="3">
        <f t="shared" si="26"/>
        <v>11.768815649995181</v>
      </c>
      <c r="AC93" s="3">
        <f>(F93*T93)/365.26/Agriculture!$D$2</f>
        <v>2.54476263483546E-2</v>
      </c>
      <c r="AD93" s="4">
        <f>SUM(Y93:Z93)*Conversion!$F$18</f>
        <v>2.9081920352703092E-3</v>
      </c>
      <c r="AE93">
        <f t="shared" si="27"/>
        <v>56.5</v>
      </c>
      <c r="AF93" s="4">
        <f t="shared" si="21"/>
        <v>0.98587709995663475</v>
      </c>
    </row>
    <row r="94" spans="1:32" ht="18">
      <c r="A94" t="s">
        <v>379</v>
      </c>
      <c r="B94">
        <v>8</v>
      </c>
      <c r="C94">
        <v>0.5</v>
      </c>
      <c r="D94">
        <f t="shared" si="28"/>
        <v>3.9832880658436216</v>
      </c>
      <c r="F94" s="3">
        <f>IF(D94&gt;0,D94*Agriculture!$D$2+Agriculture!$E$16*E94,IF(E94&gt;0,0,Agriculture!$D$2*0.025))</f>
        <v>7783.3448806584365</v>
      </c>
      <c r="G94" s="3">
        <f>L94*1/Agriculture!$C$49*Agriculture!$E$16</f>
        <v>0</v>
      </c>
      <c r="H94" t="s">
        <v>421</v>
      </c>
      <c r="I94" s="66">
        <v>944</v>
      </c>
      <c r="J94" s="66"/>
      <c r="K94" s="54">
        <f>IF(I94&gt;0,I94,J94/2000*Conversion!$D$22)</f>
        <v>944</v>
      </c>
      <c r="L94" s="66"/>
      <c r="M94" s="66"/>
      <c r="N94" s="66"/>
      <c r="O94" s="66">
        <v>25.8</v>
      </c>
      <c r="P94" s="66">
        <v>1.06</v>
      </c>
      <c r="Q94" s="66">
        <v>48.7</v>
      </c>
      <c r="R94" s="66">
        <v>60.08</v>
      </c>
      <c r="S94" s="66">
        <v>322</v>
      </c>
      <c r="T94" s="67">
        <f t="shared" si="24"/>
        <v>7913.6</v>
      </c>
      <c r="X94">
        <f t="shared" si="25"/>
        <v>1</v>
      </c>
      <c r="Y94" s="3">
        <f>IF(V94&lt;5,IF(K94&gt;0,F94/K94/X94*Conversion!$E$17,0))</f>
        <v>82450.687295110562</v>
      </c>
      <c r="Z94" s="3">
        <f>IF(L94&gt;0,G94/L94/X94*Conversion!$E$17,0)</f>
        <v>0</v>
      </c>
      <c r="AA94" s="3" t="b">
        <f>IF(V94&gt;5,IF(K94&gt;0,F94/K94/X94*Conversion!$E$17,0))</f>
        <v>0</v>
      </c>
      <c r="AB94" s="3">
        <f t="shared" si="26"/>
        <v>82450.687295110562</v>
      </c>
      <c r="AC94" s="3">
        <f>(F94*T94)/365.26/Agriculture!$D$2</f>
        <v>86.300576131687251</v>
      </c>
      <c r="AD94" s="4">
        <f>SUM(Y94:Z94)*Conversion!$F$18</f>
        <v>20.374389337494769</v>
      </c>
      <c r="AE94">
        <f t="shared" si="27"/>
        <v>56.5</v>
      </c>
      <c r="AF94" s="4">
        <f t="shared" si="21"/>
        <v>1151.1529975684543</v>
      </c>
    </row>
    <row r="95" spans="1:32" ht="18">
      <c r="A95" t="s">
        <v>386</v>
      </c>
      <c r="B95">
        <v>8</v>
      </c>
      <c r="D95">
        <f t="shared" si="28"/>
        <v>0</v>
      </c>
      <c r="F95" s="3">
        <f>IF(D95&gt;0,D95*Agriculture!$D$2+Agriculture!$E$16*E95,IF(E95&gt;0,0,Agriculture!$D$2*0.025))</f>
        <v>48.85</v>
      </c>
      <c r="G95" s="3">
        <f>L95*1/Agriculture!$C$49*Agriculture!$E$16</f>
        <v>0</v>
      </c>
      <c r="H95" t="s">
        <v>421</v>
      </c>
      <c r="I95">
        <v>1658</v>
      </c>
      <c r="K95" s="54">
        <f>IF(I95&gt;0,I95,J95/2000*Conversion!$D$22)</f>
        <v>1658</v>
      </c>
      <c r="O95" s="66">
        <v>17.399999999999999</v>
      </c>
      <c r="P95" s="66">
        <v>1.3</v>
      </c>
      <c r="Q95" s="66">
        <v>0</v>
      </c>
      <c r="R95" s="66">
        <v>46.4</v>
      </c>
      <c r="S95" s="66">
        <v>428</v>
      </c>
      <c r="T95" s="67">
        <f t="shared" si="24"/>
        <v>2669</v>
      </c>
      <c r="X95">
        <f t="shared" si="25"/>
        <v>1</v>
      </c>
      <c r="Y95" s="3">
        <f>IF(V95&lt;5,IF(K95&gt;0,F95/K95/X95*Conversion!$E$17,0))</f>
        <v>294.63208685162846</v>
      </c>
      <c r="Z95" s="3">
        <f>IF(L95&gt;0,G95/L95/X95*Conversion!$E$17,0)</f>
        <v>0</v>
      </c>
      <c r="AA95" s="3" t="b">
        <f>IF(V95&gt;5,IF(K95&gt;0,F95/K95/X95*Conversion!$E$17,0))</f>
        <v>0</v>
      </c>
      <c r="AB95" s="3">
        <f t="shared" si="26"/>
        <v>294.63208685162846</v>
      </c>
      <c r="AC95" s="3">
        <f>(F95*T95)/365.26/Agriculture!$D$2</f>
        <v>0.18267809231780102</v>
      </c>
      <c r="AD95" s="4">
        <f>SUM(Y95:Z95)*Conversion!$F$18</f>
        <v>7.280653498190591E-2</v>
      </c>
      <c r="AE95">
        <f t="shared" si="27"/>
        <v>56.5</v>
      </c>
      <c r="AF95" s="4">
        <f t="shared" si="21"/>
        <v>4.1135692264776837</v>
      </c>
    </row>
    <row r="96" spans="1:32" ht="18">
      <c r="A96" t="s">
        <v>387</v>
      </c>
      <c r="B96">
        <v>8</v>
      </c>
      <c r="C96">
        <v>1</v>
      </c>
      <c r="D96">
        <f t="shared" si="28"/>
        <v>7.9665761316872432</v>
      </c>
      <c r="F96" s="3">
        <f>IF(D96&gt;0,D96*Agriculture!$D$2+Agriculture!$E$16*E96,IF(E96&gt;0,0,Agriculture!$D$2*0.025))</f>
        <v>15566.689761316873</v>
      </c>
      <c r="G96" s="3">
        <f>L96*1/Agriculture!$C$49*Agriculture!$E$16</f>
        <v>0</v>
      </c>
      <c r="H96" t="s">
        <v>421</v>
      </c>
      <c r="I96">
        <v>7388</v>
      </c>
      <c r="J96">
        <v>2200</v>
      </c>
      <c r="K96" s="54">
        <f>IF(I96&gt;0,I96,J96/2000*Conversion!$D$22)</f>
        <v>7388</v>
      </c>
      <c r="O96" s="66">
        <v>5.42</v>
      </c>
      <c r="P96" s="66">
        <v>0.4</v>
      </c>
      <c r="Q96" s="66">
        <v>0</v>
      </c>
      <c r="R96" s="66">
        <v>14.45</v>
      </c>
      <c r="S96" s="66">
        <v>593</v>
      </c>
      <c r="T96" s="67">
        <f t="shared" si="24"/>
        <v>830.79999999999984</v>
      </c>
      <c r="X96">
        <f t="shared" si="25"/>
        <v>1</v>
      </c>
      <c r="Y96" s="3">
        <f>IF(V96&lt;5,IF(K96&gt;0,F96/K96/X96*Conversion!$E$17,0))</f>
        <v>21070.235193986024</v>
      </c>
      <c r="Z96" s="3">
        <f>IF(L96&gt;0,G96/L96/X96*Conversion!$E$17,0)</f>
        <v>0</v>
      </c>
      <c r="AA96" s="3" t="b">
        <f>IF(V96&gt;5,IF(K96&gt;0,F96/K96/X96*Conversion!$E$17,0))</f>
        <v>0</v>
      </c>
      <c r="AB96" s="3">
        <f t="shared" si="26"/>
        <v>21070.235193986024</v>
      </c>
      <c r="AC96" s="3">
        <f>(F96*T96)/365.26/Agriculture!$D$2</f>
        <v>18.120329218106995</v>
      </c>
      <c r="AD96" s="4">
        <f>SUM(Y96:Z96)*Conversion!$F$18</f>
        <v>5.2066658187858863</v>
      </c>
      <c r="AE96">
        <f t="shared" si="27"/>
        <v>56.5</v>
      </c>
      <c r="AF96" s="4">
        <f t="shared" si="21"/>
        <v>294.17661876140255</v>
      </c>
    </row>
    <row r="97" spans="1:32" ht="18">
      <c r="A97" t="s">
        <v>407</v>
      </c>
      <c r="B97">
        <v>8</v>
      </c>
      <c r="D97">
        <f t="shared" si="28"/>
        <v>0</v>
      </c>
      <c r="F97" s="3">
        <f>IF(D97&gt;0,D97*Agriculture!$D$2+Agriculture!$E$16*E97,IF(E97&gt;0,0,Agriculture!$D$2*0.025))</f>
        <v>48.85</v>
      </c>
      <c r="G97" s="3">
        <f>L97*1/Agriculture!$C$49*Agriculture!$E$16</f>
        <v>0</v>
      </c>
      <c r="I97">
        <v>10000</v>
      </c>
      <c r="K97" s="54">
        <f>IF(I97&gt;0,I97,J97/2000*Conversion!$D$22)</f>
        <v>10000</v>
      </c>
      <c r="O97" s="66">
        <v>6.95</v>
      </c>
      <c r="P97" s="66">
        <v>0.87</v>
      </c>
      <c r="Q97" s="66">
        <v>0</v>
      </c>
      <c r="R97" s="66">
        <v>4.3099999999999996</v>
      </c>
      <c r="S97" s="66">
        <v>508</v>
      </c>
      <c r="T97" s="67">
        <f t="shared" si="24"/>
        <v>528.69999999999993</v>
      </c>
      <c r="X97">
        <f t="shared" si="25"/>
        <v>1</v>
      </c>
      <c r="Y97" s="3">
        <f>IF(V97&lt;5,IF(K97&gt;0,F97/K97/X97*Conversion!$E$17,0))</f>
        <v>48.85</v>
      </c>
      <c r="Z97" s="3">
        <f>IF(L97&gt;0,G97/L97/X97*Conversion!$E$17,0)</f>
        <v>0</v>
      </c>
      <c r="AA97" s="3" t="b">
        <f>IF(V97&gt;5,IF(K97&gt;0,F97/K97/X97*Conversion!$E$17,0))</f>
        <v>0</v>
      </c>
      <c r="AB97" s="3">
        <f t="shared" si="26"/>
        <v>48.85</v>
      </c>
      <c r="AC97" s="3">
        <f>(F97*T97)/365.26/Agriculture!$D$2</f>
        <v>3.6186552045118545E-2</v>
      </c>
      <c r="AD97" s="4">
        <f>SUM(Y97:Z97)*Conversion!$F$18</f>
        <v>1.20713235E-2</v>
      </c>
      <c r="AE97">
        <f t="shared" si="27"/>
        <v>56.5</v>
      </c>
      <c r="AF97" s="4">
        <f t="shared" si="21"/>
        <v>0.68202977774999995</v>
      </c>
    </row>
    <row r="98" spans="1:32" ht="18">
      <c r="A98" t="s">
        <v>406</v>
      </c>
      <c r="B98">
        <v>8</v>
      </c>
      <c r="D98">
        <f t="shared" si="28"/>
        <v>0</v>
      </c>
      <c r="F98" s="3">
        <f>IF(D98&gt;0,D98*Agriculture!$D$2+Agriculture!$E$16*E98,IF(E98&gt;0,0,Agriculture!$D$2*0.025))</f>
        <v>48.85</v>
      </c>
      <c r="G98" s="3">
        <f>L98*1/Agriculture!$C$49*Agriculture!$E$16</f>
        <v>0</v>
      </c>
      <c r="I98">
        <v>729</v>
      </c>
      <c r="K98" s="54">
        <f>IF(I98&gt;0,I98,J98/2000*Conversion!$D$22)</f>
        <v>729</v>
      </c>
      <c r="O98" s="66">
        <v>29.65</v>
      </c>
      <c r="P98" s="66">
        <v>16.32</v>
      </c>
      <c r="Q98" s="66">
        <v>26.53</v>
      </c>
      <c r="R98" s="66">
        <v>41.71</v>
      </c>
      <c r="S98" s="66">
        <v>305</v>
      </c>
      <c r="T98" s="67">
        <f t="shared" si="24"/>
        <v>6710.9000000000005</v>
      </c>
      <c r="X98">
        <f t="shared" si="25"/>
        <v>1</v>
      </c>
      <c r="Y98" s="3">
        <f>IF(V98&lt;5,IF(K98&gt;0,F98/K98/X98*Conversion!$E$17,0))</f>
        <v>670.09602194787385</v>
      </c>
      <c r="Z98" s="3">
        <f>IF(L98&gt;0,G98/L98/X98*Conversion!$E$17,0)</f>
        <v>0</v>
      </c>
      <c r="AA98" s="3" t="b">
        <f>IF(V98&gt;5,IF(K98&gt;0,F98/K98/X98*Conversion!$E$17,0))</f>
        <v>0</v>
      </c>
      <c r="AB98" s="3">
        <f t="shared" si="26"/>
        <v>670.09602194787385</v>
      </c>
      <c r="AC98" s="3">
        <f>(F98*T98)/365.26/Agriculture!$D$2</f>
        <v>0.459323495592181</v>
      </c>
      <c r="AD98" s="4">
        <f>SUM(Y98:Z98)*Conversion!$F$18</f>
        <v>0.16558742798353909</v>
      </c>
      <c r="AE98">
        <f t="shared" si="27"/>
        <v>56.5</v>
      </c>
      <c r="AF98" s="4">
        <f t="shared" si="21"/>
        <v>9.3556896810699595</v>
      </c>
    </row>
    <row r="99" spans="1:32" ht="18">
      <c r="A99" t="s">
        <v>408</v>
      </c>
      <c r="B99">
        <v>8</v>
      </c>
      <c r="D99">
        <f t="shared" si="28"/>
        <v>0</v>
      </c>
      <c r="F99" s="3">
        <f>IF(D99&gt;0,D99*Agriculture!$D$2+Agriculture!$E$16*E99,IF(E99&gt;0,0,Agriculture!$D$2*0.025))</f>
        <v>48.85</v>
      </c>
      <c r="G99" s="3">
        <f>L99*1/Agriculture!$C$49*Agriculture!$E$16</f>
        <v>0</v>
      </c>
      <c r="I99">
        <v>5000</v>
      </c>
      <c r="K99" s="54">
        <f>IF(I99&gt;0,I99,J99/2000*Conversion!$D$22)</f>
        <v>5000</v>
      </c>
      <c r="O99" s="66">
        <v>11.6</v>
      </c>
      <c r="P99" s="66">
        <v>0.9</v>
      </c>
      <c r="Q99" s="66">
        <v>0</v>
      </c>
      <c r="R99" s="66">
        <v>28.1</v>
      </c>
      <c r="S99" s="66">
        <v>807</v>
      </c>
      <c r="T99" s="67">
        <f t="shared" si="24"/>
        <v>1669</v>
      </c>
      <c r="X99">
        <f t="shared" si="25"/>
        <v>1</v>
      </c>
      <c r="Y99" s="3">
        <f>IF(V99&lt;5,IF(K99&gt;0,F99/K99/X99*Conversion!$E$17,0))</f>
        <v>97.7</v>
      </c>
      <c r="Z99" s="3">
        <f>IF(L99&gt;0,G99/L99/X99*Conversion!$E$17,0)</f>
        <v>0</v>
      </c>
      <c r="AA99" s="3" t="b">
        <f>IF(V99&gt;5,IF(K99&gt;0,F99/K99/X99*Conversion!$E$17,0))</f>
        <v>0</v>
      </c>
      <c r="AB99" s="3">
        <f t="shared" si="26"/>
        <v>97.7</v>
      </c>
      <c r="AC99" s="3">
        <f>(F99*T99)/365.26/Agriculture!$D$2</f>
        <v>0.11423369654492692</v>
      </c>
      <c r="AD99" s="4">
        <f>SUM(Y99:Z99)*Conversion!$F$18</f>
        <v>2.4142647E-2</v>
      </c>
      <c r="AE99">
        <f t="shared" si="27"/>
        <v>56.5</v>
      </c>
      <c r="AF99" s="4">
        <f t="shared" si="21"/>
        <v>1.3640595554999999</v>
      </c>
    </row>
    <row r="100" spans="1:32" ht="18">
      <c r="F100" s="3"/>
      <c r="G100" s="3"/>
      <c r="K100" s="54"/>
      <c r="O100" s="66"/>
      <c r="P100" s="66"/>
      <c r="Q100" s="66"/>
      <c r="R100" s="66"/>
      <c r="S100" s="66"/>
      <c r="T100" s="67"/>
      <c r="Y100" s="3"/>
      <c r="Z100" s="3"/>
      <c r="AA100" s="3"/>
      <c r="AB100" s="3"/>
      <c r="AC100" s="3"/>
      <c r="AD100" s="4">
        <f>SUM(Y100:Z100)*Conversion!$F$18</f>
        <v>0</v>
      </c>
      <c r="AE100">
        <f t="shared" si="23"/>
        <v>14.8</v>
      </c>
      <c r="AF100" s="4">
        <f t="shared" si="21"/>
        <v>0</v>
      </c>
    </row>
    <row r="101" spans="1:32" ht="18">
      <c r="A101" t="str">
        <f>Agriculture!B32</f>
        <v>Cereals &amp; Grains</v>
      </c>
      <c r="B101">
        <f>COUNT(B102:B113)</f>
        <v>12</v>
      </c>
      <c r="C101">
        <f>SUM(C102:C113)</f>
        <v>6.5</v>
      </c>
      <c r="D101">
        <f>Agriculture!G32</f>
        <v>293.05744186046513</v>
      </c>
      <c r="F101" s="3"/>
      <c r="G101" s="3"/>
      <c r="K101" s="54"/>
      <c r="O101" s="66"/>
      <c r="P101" s="66"/>
      <c r="Q101" s="66"/>
      <c r="R101" s="66"/>
      <c r="S101" s="66"/>
      <c r="T101" s="67"/>
      <c r="Y101" s="3"/>
      <c r="Z101" s="3"/>
      <c r="AA101" s="3"/>
      <c r="AB101" s="3"/>
      <c r="AC101" s="3"/>
      <c r="AD101" s="4">
        <f>SUM(Y101:Z101)*Conversion!$F$18</f>
        <v>0</v>
      </c>
      <c r="AE101">
        <f t="shared" si="23"/>
        <v>14.8</v>
      </c>
      <c r="AF101" s="4">
        <f t="shared" si="21"/>
        <v>0</v>
      </c>
    </row>
    <row r="102" spans="1:32" ht="18">
      <c r="A102" t="s">
        <v>108</v>
      </c>
      <c r="B102">
        <v>9</v>
      </c>
      <c r="C102">
        <v>1</v>
      </c>
      <c r="D102">
        <f>$D$101*C102/$C$101</f>
        <v>45.085760286225408</v>
      </c>
      <c r="E102">
        <v>0.05</v>
      </c>
      <c r="F102" s="3">
        <f>IF(D102&gt;0,D102*Agriculture!$D$2+Agriculture!$E$16*E102,IF(E102&gt;0,0,Agriculture!$D$2*0.025))</f>
        <v>234178.80576142535</v>
      </c>
      <c r="G102" s="3">
        <f>L102*1/Agriculture!$C$49*Agriculture!$E$16</f>
        <v>87151.313423978776</v>
      </c>
      <c r="H102" t="s">
        <v>421</v>
      </c>
      <c r="I102">
        <v>2777</v>
      </c>
      <c r="K102" s="54">
        <f>IF(I102&gt;0,I102,J102/2000*Conversion!$D$22)</f>
        <v>2777</v>
      </c>
      <c r="L102">
        <f>I102</f>
        <v>2777</v>
      </c>
      <c r="O102" s="66">
        <v>12.48</v>
      </c>
      <c r="P102" s="66">
        <v>2.2999999999999998</v>
      </c>
      <c r="R102" s="66">
        <v>73.48</v>
      </c>
      <c r="S102" s="66">
        <v>982</v>
      </c>
      <c r="T102" s="67">
        <f t="shared" ref="T102:T113" si="29">(O102*4+R102*4+P102*9+Q102*9)*10</f>
        <v>3645.4</v>
      </c>
      <c r="U102">
        <v>1.5</v>
      </c>
      <c r="W102">
        <v>1</v>
      </c>
      <c r="X102">
        <f t="shared" ref="X102:X113" si="30">IF(N102&gt;0,1,IF(M102&gt;0,FLOOR(365.26/M102,0.1),1))</f>
        <v>1</v>
      </c>
      <c r="Y102" s="3">
        <f>IF(V102&lt;5,IF(K102&gt;0,F102/K102/X102*Conversion!$E$17,0))</f>
        <v>843279.81909047661</v>
      </c>
      <c r="Z102" s="3">
        <f>IF(L102&gt;0,G102/L102/X102*Conversion!$E$17,0)</f>
        <v>313832.6014547309</v>
      </c>
      <c r="AA102" s="3" t="b">
        <f>IF(V102&gt;5,IF(K102&gt;0,F102/K102/X102*Conversion!$E$17,0))</f>
        <v>0</v>
      </c>
      <c r="AB102" s="3">
        <f t="shared" ref="AB102:AB113" si="31">(Y102+Z102)*IF(U102&gt;0,U102,1)</f>
        <v>1735668.6308178115</v>
      </c>
      <c r="AC102" s="3">
        <f>(F102*T102)/365.26/Agriculture!$D$2</f>
        <v>1196.0961761912311</v>
      </c>
      <c r="AD102" s="4">
        <f>SUM(Y102:Z102)*Conversion!$F$18</f>
        <v>285.93405024092624</v>
      </c>
      <c r="AE102">
        <f>24.4+11+4.7+9.4+6</f>
        <v>55.5</v>
      </c>
      <c r="AF102" s="4">
        <f t="shared" si="21"/>
        <v>15869.339788371406</v>
      </c>
    </row>
    <row r="103" spans="1:32" ht="18">
      <c r="A103" t="s">
        <v>380</v>
      </c>
      <c r="B103">
        <v>9</v>
      </c>
      <c r="C103">
        <v>1</v>
      </c>
      <c r="D103">
        <f t="shared" ref="D103:D113" si="32">$D$101*C103/$C$101</f>
        <v>45.085760286225408</v>
      </c>
      <c r="F103" s="3">
        <f>IF(D103&gt;0,D103*Agriculture!$D$2+Agriculture!$E$16*E103,IF(E103&gt;0,0,Agriculture!$D$2*0.025))</f>
        <v>88097.57559928445</v>
      </c>
      <c r="G103" s="3">
        <f>L103*1/Agriculture!$C$49*Agriculture!$E$16</f>
        <v>160337.07608322203</v>
      </c>
      <c r="H103" t="s">
        <v>421</v>
      </c>
      <c r="I103">
        <v>5109</v>
      </c>
      <c r="J103">
        <v>6200</v>
      </c>
      <c r="K103" s="54">
        <f>IF(I103&gt;0,I103,J103/2000*Conversion!$D$22)</f>
        <v>5109</v>
      </c>
      <c r="L103">
        <f>I103</f>
        <v>5109</v>
      </c>
      <c r="M103">
        <v>150</v>
      </c>
      <c r="O103" s="66">
        <v>8.1199999999999992</v>
      </c>
      <c r="P103" s="66">
        <v>3.59</v>
      </c>
      <c r="Q103" s="66">
        <v>45.6</v>
      </c>
      <c r="R103" s="66">
        <v>76.89</v>
      </c>
      <c r="S103" s="67">
        <v>1847</v>
      </c>
      <c r="T103" s="67">
        <f t="shared" si="29"/>
        <v>7827.5</v>
      </c>
      <c r="X103">
        <f t="shared" si="30"/>
        <v>2.4000000000000004</v>
      </c>
      <c r="Y103" s="3">
        <f>IF(V103&lt;5,IF(K103&gt;0,F103/K103/X103*Conversion!$E$17,0))</f>
        <v>71848.352253608362</v>
      </c>
      <c r="Z103" s="3">
        <f>IF(L103&gt;0,G103/L103/X103*Conversion!$E$17,0)</f>
        <v>130763.58393947119</v>
      </c>
      <c r="AA103" s="3" t="b">
        <f>IF(V103&gt;5,IF(K103&gt;0,F103/K103/X103*Conversion!$E$17,0))</f>
        <v>0</v>
      </c>
      <c r="AB103" s="3">
        <f t="shared" si="31"/>
        <v>202611.93619307957</v>
      </c>
      <c r="AC103" s="3">
        <f>(F103*T103)/365.26/Agriculture!$D$2</f>
        <v>966.18515205724532</v>
      </c>
      <c r="AD103" s="4">
        <f>SUM(Y103:Z103)*Conversion!$F$18</f>
        <v>50.067435552671888</v>
      </c>
      <c r="AE103">
        <f>24.4+11+4.7+9.4+6</f>
        <v>55.5</v>
      </c>
      <c r="AF103" s="4">
        <f t="shared" si="21"/>
        <v>6668.9824156158966</v>
      </c>
    </row>
    <row r="104" spans="1:32" ht="18">
      <c r="A104" t="s">
        <v>382</v>
      </c>
      <c r="B104">
        <v>9</v>
      </c>
      <c r="C104">
        <v>0</v>
      </c>
      <c r="D104">
        <f t="shared" si="32"/>
        <v>0</v>
      </c>
      <c r="F104" s="3">
        <f>IF(D104&gt;0,D104*Agriculture!$D$2+Agriculture!$E$16*E104,IF(E104&gt;0,0,Agriculture!$D$2*0.025))</f>
        <v>48.85</v>
      </c>
      <c r="G104" s="3">
        <f>L104*1/Agriculture!$C$49*Agriculture!$E$16</f>
        <v>0</v>
      </c>
      <c r="H104" t="s">
        <v>421</v>
      </c>
      <c r="I104">
        <v>4309</v>
      </c>
      <c r="K104" s="54">
        <f>IF(I104&gt;0,I104,J104/2000*Conversion!$D$22)</f>
        <v>4309</v>
      </c>
      <c r="O104" s="66">
        <v>11</v>
      </c>
      <c r="P104" s="66">
        <v>0.66</v>
      </c>
      <c r="Q104" s="66">
        <v>0</v>
      </c>
      <c r="R104" s="66">
        <v>75</v>
      </c>
      <c r="S104" s="66">
        <v>1462</v>
      </c>
      <c r="T104" s="67">
        <f t="shared" si="29"/>
        <v>3499.4</v>
      </c>
      <c r="X104">
        <f t="shared" si="30"/>
        <v>1</v>
      </c>
      <c r="Y104" s="3">
        <f>IF(V104&lt;5,IF(K104&gt;0,F104/K104/X104*Conversion!$E$17,0))</f>
        <v>113.36737061963333</v>
      </c>
      <c r="Z104" s="3">
        <f>IF(L104&gt;0,G104/L104/X104*Conversion!$E$17,0)</f>
        <v>0</v>
      </c>
      <c r="AA104" s="3" t="b">
        <f>IF(V104&gt;5,IF(K104&gt;0,F104/K104/X104*Conversion!$E$17,0))</f>
        <v>0</v>
      </c>
      <c r="AB104" s="3">
        <f t="shared" si="31"/>
        <v>113.36737061963333</v>
      </c>
      <c r="AC104" s="3">
        <f>(F104*T104)/365.26/Agriculture!$D$2</f>
        <v>0.23951431856759567</v>
      </c>
      <c r="AD104" s="4">
        <f>SUM(Y104:Z104)*Conversion!$F$18</f>
        <v>2.8014210953817592E-2</v>
      </c>
      <c r="AE104">
        <f>46.7+18.2+17.6+6.7+24.4+10.5+9.4</f>
        <v>133.5</v>
      </c>
      <c r="AF104" s="4">
        <f t="shared" si="21"/>
        <v>3.7398971623346484</v>
      </c>
    </row>
    <row r="105" spans="1:32" ht="18">
      <c r="A105" t="s">
        <v>362</v>
      </c>
      <c r="B105">
        <v>9</v>
      </c>
      <c r="C105">
        <v>1</v>
      </c>
      <c r="D105">
        <f t="shared" si="32"/>
        <v>45.085760286225408</v>
      </c>
      <c r="F105" s="3">
        <f>IF(D105&gt;0,D105*Agriculture!$D$2+Agriculture!$E$16*E105,IF(E105&gt;0,0,Agriculture!$D$2*0.025))</f>
        <v>88097.57559928445</v>
      </c>
      <c r="G105" s="3">
        <f>L105*1/Agriculture!$C$49*Agriculture!$E$16</f>
        <v>214190.75049285384</v>
      </c>
      <c r="H105" t="s">
        <v>421</v>
      </c>
      <c r="I105">
        <v>2275</v>
      </c>
      <c r="K105" s="54">
        <f>IF(I105&gt;0,I105,J105/2000*Conversion!$D$22)</f>
        <v>2275</v>
      </c>
      <c r="L105">
        <f>I105*3</f>
        <v>6825</v>
      </c>
      <c r="O105" s="66">
        <v>16.89</v>
      </c>
      <c r="P105" s="66">
        <v>6.9</v>
      </c>
      <c r="Q105" s="66">
        <v>37</v>
      </c>
      <c r="R105" s="66">
        <v>66.27</v>
      </c>
      <c r="S105" s="66">
        <v>871</v>
      </c>
      <c r="T105" s="67">
        <f t="shared" si="29"/>
        <v>7277.4</v>
      </c>
      <c r="X105">
        <f t="shared" si="30"/>
        <v>1</v>
      </c>
      <c r="Y105" s="3">
        <f>IF(V105&lt;5,IF(K105&gt;0,F105/K105/X105*Conversion!$E$17,0))</f>
        <v>387242.09054630529</v>
      </c>
      <c r="Z105" s="3">
        <f>IF(L105&gt;0,G105/L105/X105*Conversion!$E$17,0)</f>
        <v>313832.6014547309</v>
      </c>
      <c r="AA105" s="3" t="b">
        <f>IF(V105&gt;5,IF(K105&gt;0,F105/K105/X105*Conversion!$E$17,0))</f>
        <v>0</v>
      </c>
      <c r="AB105" s="3">
        <f t="shared" si="31"/>
        <v>701074.69200103614</v>
      </c>
      <c r="AC105" s="3">
        <f>(F105*T105)/365.26/Agriculture!$D$2</f>
        <v>898.28372093023268</v>
      </c>
      <c r="AD105" s="4">
        <f>SUM(Y105:Z105)*Conversion!$F$18</f>
        <v>173.24256714037602</v>
      </c>
      <c r="AE105">
        <f t="shared" ref="AE105:AE113" si="33">24.4+11+4.7+9.4+6</f>
        <v>55.5</v>
      </c>
      <c r="AF105" s="4">
        <f t="shared" si="21"/>
        <v>9614.9624762908697</v>
      </c>
    </row>
    <row r="106" spans="1:32" ht="18">
      <c r="A106" t="s">
        <v>118</v>
      </c>
      <c r="B106">
        <v>9</v>
      </c>
      <c r="C106">
        <v>0</v>
      </c>
      <c r="D106">
        <f t="shared" si="32"/>
        <v>0</v>
      </c>
      <c r="F106" s="3">
        <f>IF(D106&gt;0,D106*Agriculture!$D$2+Agriculture!$E$16*E106,IF(E106&gt;0,0,Agriculture!$D$2*0.025))</f>
        <v>48.85</v>
      </c>
      <c r="G106" s="3">
        <f>L106*1/Agriculture!$C$49*Agriculture!$E$16</f>
        <v>0</v>
      </c>
      <c r="H106" t="s">
        <v>421</v>
      </c>
      <c r="I106">
        <v>770</v>
      </c>
      <c r="K106" s="54">
        <f>IF(I106&gt;0,I106,J106/2000*Conversion!$D$22)</f>
        <v>770</v>
      </c>
      <c r="O106" s="66">
        <v>14.12</v>
      </c>
      <c r="P106" s="66">
        <v>6.07</v>
      </c>
      <c r="Q106" s="66">
        <v>0</v>
      </c>
      <c r="R106" s="66">
        <v>64.16</v>
      </c>
      <c r="S106" s="66">
        <v>275</v>
      </c>
      <c r="T106" s="67">
        <f t="shared" si="29"/>
        <v>3677.5</v>
      </c>
      <c r="W106">
        <v>1</v>
      </c>
      <c r="X106">
        <f t="shared" si="30"/>
        <v>1</v>
      </c>
      <c r="Y106" s="3">
        <f>IF(V106&lt;5,IF(K106&gt;0,F106/K106/X106*Conversion!$E$17,0))</f>
        <v>634.41558441558436</v>
      </c>
      <c r="Z106" s="3">
        <f>IF(L106&gt;0,G106/L106/X106*Conversion!$E$17,0)</f>
        <v>0</v>
      </c>
      <c r="AA106" s="3" t="b">
        <f>IF(V106&gt;5,IF(K106&gt;0,F106/K106/X106*Conversion!$E$17,0))</f>
        <v>0</v>
      </c>
      <c r="AB106" s="3">
        <f t="shared" si="31"/>
        <v>634.41558441558436</v>
      </c>
      <c r="AC106" s="3">
        <f>(F106*T106)/365.26/Agriculture!$D$2</f>
        <v>0.25170426545474456</v>
      </c>
      <c r="AD106" s="4">
        <f>SUM(Y106:Z106)*Conversion!$F$18</f>
        <v>0.15677043506493504</v>
      </c>
      <c r="AE106">
        <f t="shared" si="33"/>
        <v>55.5</v>
      </c>
      <c r="AF106" s="4">
        <f t="shared" si="21"/>
        <v>8.7007591461038949</v>
      </c>
    </row>
    <row r="107" spans="1:32" ht="18">
      <c r="A107" t="s">
        <v>390</v>
      </c>
      <c r="B107">
        <v>9</v>
      </c>
      <c r="C107">
        <v>1</v>
      </c>
      <c r="D107">
        <f t="shared" si="32"/>
        <v>45.085760286225408</v>
      </c>
      <c r="F107" s="3">
        <f>IF(D107&gt;0,D107*Agriculture!$D$2+Agriculture!$E$16*E107,IF(E107&gt;0,0,Agriculture!$D$2*0.025))</f>
        <v>88097.57559928445</v>
      </c>
      <c r="G107" s="3">
        <f>L107*1/Agriculture!$C$49*Agriculture!$E$16</f>
        <v>0</v>
      </c>
      <c r="H107" t="s">
        <v>421</v>
      </c>
      <c r="I107">
        <v>4309</v>
      </c>
      <c r="K107" s="54">
        <f>IF(I107&gt;0,I107,J107/2000*Conversion!$D$22)</f>
        <v>4309</v>
      </c>
      <c r="O107" s="66">
        <v>7.13</v>
      </c>
      <c r="P107" s="66">
        <v>0.66</v>
      </c>
      <c r="Q107" s="66">
        <v>0</v>
      </c>
      <c r="R107" s="66">
        <v>79.95</v>
      </c>
      <c r="S107" s="66">
        <v>1482</v>
      </c>
      <c r="T107" s="67">
        <f t="shared" si="29"/>
        <v>3542.6</v>
      </c>
      <c r="W107">
        <v>1</v>
      </c>
      <c r="X107">
        <f t="shared" si="30"/>
        <v>1</v>
      </c>
      <c r="Y107" s="3">
        <f>IF(V107&lt;5,IF(K107&gt;0,F107/K107/X107*Conversion!$E$17,0))</f>
        <v>204450.16384145844</v>
      </c>
      <c r="Z107" s="3">
        <f>IF(L107&gt;0,G107/L107/X107*Conversion!$E$17,0)</f>
        <v>0</v>
      </c>
      <c r="AA107" s="3" t="b">
        <f>IF(V107&gt;5,IF(K107&gt;0,F107/K107/X107*Conversion!$E$17,0))</f>
        <v>0</v>
      </c>
      <c r="AB107" s="3">
        <f t="shared" si="31"/>
        <v>204450.16384145844</v>
      </c>
      <c r="AC107" s="3">
        <f>(F107*T107)/365.26/Agriculture!$D$2</f>
        <v>437.27978533094824</v>
      </c>
      <c r="AD107" s="4">
        <f>SUM(Y107:Z107)*Conversion!$F$18</f>
        <v>50.521679986862793</v>
      </c>
      <c r="AE107">
        <f t="shared" si="33"/>
        <v>55.5</v>
      </c>
      <c r="AF107" s="4">
        <f t="shared" si="21"/>
        <v>2803.9532392708852</v>
      </c>
    </row>
    <row r="108" spans="1:32" ht="18">
      <c r="A108" t="s">
        <v>391</v>
      </c>
      <c r="B108">
        <v>9</v>
      </c>
      <c r="C108">
        <v>1</v>
      </c>
      <c r="D108">
        <f t="shared" si="32"/>
        <v>45.085760286225408</v>
      </c>
      <c r="F108" s="3">
        <f>IF(D108&gt;0,D108*Agriculture!$D$2+Agriculture!$E$16*E108,IF(E108&gt;0,0,Agriculture!$D$2*0.025))</f>
        <v>88097.57559928445</v>
      </c>
      <c r="G108" s="3">
        <f>L108*1/Agriculture!$C$49*Agriculture!$E$16</f>
        <v>0</v>
      </c>
      <c r="H108" t="s">
        <v>421</v>
      </c>
      <c r="I108">
        <v>2622</v>
      </c>
      <c r="K108" s="54">
        <f>IF(I108&gt;0,I108,J108/2000*Conversion!$D$22)</f>
        <v>2622</v>
      </c>
      <c r="O108" s="66">
        <v>10.34</v>
      </c>
      <c r="P108" s="66">
        <v>1.63</v>
      </c>
      <c r="Q108" s="66">
        <v>0</v>
      </c>
      <c r="R108" s="66">
        <v>75.86</v>
      </c>
      <c r="S108" s="66">
        <v>914</v>
      </c>
      <c r="T108" s="67">
        <f t="shared" si="29"/>
        <v>3594.7000000000003</v>
      </c>
      <c r="X108">
        <f t="shared" si="30"/>
        <v>1</v>
      </c>
      <c r="Y108" s="3">
        <f>IF(V108&lt;5,IF(K108&gt;0,F108/K108/X108*Conversion!$E$17,0))</f>
        <v>335993.80472648534</v>
      </c>
      <c r="Z108" s="3">
        <f>IF(L108&gt;0,G108/L108/X108*Conversion!$E$17,0)</f>
        <v>0</v>
      </c>
      <c r="AA108" s="3" t="b">
        <f>IF(V108&gt;5,IF(K108&gt;0,F108/K108/X108*Conversion!$E$17,0))</f>
        <v>0</v>
      </c>
      <c r="AB108" s="3">
        <f t="shared" si="31"/>
        <v>335993.80472648534</v>
      </c>
      <c r="AC108" s="3">
        <f>(F108*T108)/365.26/Agriculture!$D$2</f>
        <v>443.71073345259401</v>
      </c>
      <c r="AD108" s="4">
        <f>SUM(Y108:Z108)*Conversion!$F$18</f>
        <v>83.027429085961785</v>
      </c>
      <c r="AE108">
        <f t="shared" si="33"/>
        <v>55.5</v>
      </c>
      <c r="AF108" s="4">
        <f t="shared" si="21"/>
        <v>4608.0223142708792</v>
      </c>
    </row>
    <row r="109" spans="1:32" ht="18">
      <c r="A109" t="s">
        <v>396</v>
      </c>
      <c r="B109">
        <v>9</v>
      </c>
      <c r="C109">
        <v>0</v>
      </c>
      <c r="D109">
        <f t="shared" si="32"/>
        <v>0</v>
      </c>
      <c r="F109" s="3">
        <f>IF(D109&gt;0,D109*Agriculture!$D$2+Agriculture!$E$16*E109,IF(E109&gt;0,0,Agriculture!$D$2*0.025))</f>
        <v>48.85</v>
      </c>
      <c r="G109" s="3">
        <f>L109*1/Agriculture!$C$49*Agriculture!$E$16</f>
        <v>0</v>
      </c>
      <c r="H109" t="s">
        <v>421</v>
      </c>
      <c r="I109">
        <v>3379</v>
      </c>
      <c r="K109" s="54">
        <f>IF(I109&gt;0,I109,J109/2000*Conversion!$D$22)</f>
        <v>3379</v>
      </c>
      <c r="O109" s="66">
        <v>14.57</v>
      </c>
      <c r="P109" s="66">
        <v>2.4300000000000002</v>
      </c>
      <c r="Q109" s="66">
        <v>51.77</v>
      </c>
      <c r="R109" s="66">
        <v>70.19</v>
      </c>
      <c r="S109" s="66">
        <v>1182</v>
      </c>
      <c r="T109" s="67">
        <f t="shared" si="29"/>
        <v>8268.4</v>
      </c>
      <c r="X109">
        <f t="shared" si="30"/>
        <v>1</v>
      </c>
      <c r="Y109" s="3">
        <f>IF(V109&lt;5,IF(K109&gt;0,F109/K109/X109*Conversion!$E$17,0))</f>
        <v>144.56939923054156</v>
      </c>
      <c r="Z109" s="3">
        <f>IF(L109&gt;0,G109/L109/X109*Conversion!$E$17,0)</f>
        <v>0</v>
      </c>
      <c r="AA109" s="3" t="b">
        <f>IF(V109&gt;5,IF(K109&gt;0,F109/K109/X109*Conversion!$E$17,0))</f>
        <v>0</v>
      </c>
      <c r="AB109" s="3">
        <f t="shared" si="31"/>
        <v>144.56939923054156</v>
      </c>
      <c r="AC109" s="3">
        <f>(F109*T109)/365.26/Agriculture!$D$2</f>
        <v>0.56592564200843232</v>
      </c>
      <c r="AD109" s="4">
        <f>SUM(Y109:Z109)*Conversion!$F$18</f>
        <v>3.5724544243859124E-2</v>
      </c>
      <c r="AE109">
        <f t="shared" si="33"/>
        <v>55.5</v>
      </c>
      <c r="AF109" s="4">
        <f t="shared" si="21"/>
        <v>1.9827122055341815</v>
      </c>
    </row>
    <row r="110" spans="1:32" ht="18">
      <c r="A110" t="s">
        <v>400</v>
      </c>
      <c r="B110">
        <v>9</v>
      </c>
      <c r="C110">
        <v>0</v>
      </c>
      <c r="D110">
        <f t="shared" si="32"/>
        <v>0</v>
      </c>
      <c r="F110" s="3">
        <f>IF(D110&gt;0,D110*Agriculture!$D$2+Agriculture!$E$16*E110,IF(E110&gt;0,0,Agriculture!$D$2*0.025))</f>
        <v>48.85</v>
      </c>
      <c r="G110" s="3">
        <f>L110*1/Agriculture!$C$49*Agriculture!$E$16</f>
        <v>0</v>
      </c>
      <c r="H110" t="s">
        <v>421</v>
      </c>
      <c r="I110">
        <v>1700</v>
      </c>
      <c r="K110" s="54">
        <f>IF(I110&gt;0,I110,J110/2000*Conversion!$D$22)</f>
        <v>1700</v>
      </c>
      <c r="O110" s="66">
        <v>13.3</v>
      </c>
      <c r="P110" s="66">
        <v>2.38</v>
      </c>
      <c r="Q110" s="66">
        <v>45</v>
      </c>
      <c r="R110" s="66">
        <v>73.13</v>
      </c>
      <c r="S110" s="66">
        <v>605</v>
      </c>
      <c r="T110" s="67">
        <f t="shared" si="29"/>
        <v>7721.4</v>
      </c>
      <c r="X110">
        <f t="shared" si="30"/>
        <v>1</v>
      </c>
      <c r="Y110" s="3">
        <f>IF(V110&lt;5,IF(K110&gt;0,F110/K110/X110*Conversion!$E$17,0))</f>
        <v>287.35294117647061</v>
      </c>
      <c r="Z110" s="3">
        <f>IF(L110&gt;0,G110/L110/X110*Conversion!$E$17,0)</f>
        <v>0</v>
      </c>
      <c r="AA110" s="3" t="b">
        <f>IF(V110&gt;5,IF(K110&gt;0,F110/K110/X110*Conversion!$E$17,0))</f>
        <v>0</v>
      </c>
      <c r="AB110" s="3">
        <f t="shared" si="31"/>
        <v>287.35294117647061</v>
      </c>
      <c r="AC110" s="3">
        <f>(F110*T110)/365.26/Agriculture!$D$2</f>
        <v>0.52848655752067031</v>
      </c>
      <c r="AD110" s="4">
        <f>SUM(Y110:Z110)*Conversion!$F$18</f>
        <v>7.1007785294117651E-2</v>
      </c>
      <c r="AE110">
        <f t="shared" si="33"/>
        <v>55.5</v>
      </c>
      <c r="AF110" s="4">
        <f t="shared" si="21"/>
        <v>3.9409320838235296</v>
      </c>
    </row>
    <row r="111" spans="1:32" ht="18">
      <c r="A111" t="s">
        <v>401</v>
      </c>
      <c r="B111">
        <v>9</v>
      </c>
      <c r="C111">
        <v>0</v>
      </c>
      <c r="D111">
        <f t="shared" si="32"/>
        <v>0</v>
      </c>
      <c r="F111" s="3">
        <f>IF(D111&gt;0,D111*Agriculture!$D$2+Agriculture!$E$16*E111,IF(E111&gt;0,0,Agriculture!$D$2*0.025))</f>
        <v>48.85</v>
      </c>
      <c r="G111" s="3">
        <f>L111*1/Agriculture!$C$49*Agriculture!$E$16</f>
        <v>0</v>
      </c>
      <c r="H111" t="s">
        <v>421</v>
      </c>
      <c r="I111">
        <v>3602</v>
      </c>
      <c r="K111" s="54">
        <f>IF(I111&gt;0,I111,J111/2000*Conversion!$D$22)</f>
        <v>3602</v>
      </c>
      <c r="O111" s="66">
        <v>13.05</v>
      </c>
      <c r="P111" s="66">
        <v>2.09</v>
      </c>
      <c r="Q111" s="66">
        <v>43.68</v>
      </c>
      <c r="R111" s="66">
        <v>72.13</v>
      </c>
      <c r="S111" s="66">
        <v>1256</v>
      </c>
      <c r="T111" s="67">
        <f t="shared" si="29"/>
        <v>7526.5</v>
      </c>
      <c r="X111">
        <f t="shared" si="30"/>
        <v>1</v>
      </c>
      <c r="Y111" s="3">
        <f>IF(V111&lt;5,IF(K111&gt;0,F111/K111/X111*Conversion!$E$17,0))</f>
        <v>135.61910049972238</v>
      </c>
      <c r="Z111" s="3">
        <f>IF(L111&gt;0,G111/L111/X111*Conversion!$E$17,0)</f>
        <v>0</v>
      </c>
      <c r="AA111" s="3" t="b">
        <f>IF(V111&gt;5,IF(K111&gt;0,F111/K111/X111*Conversion!$E$17,0))</f>
        <v>0</v>
      </c>
      <c r="AB111" s="3">
        <f t="shared" si="31"/>
        <v>135.61910049972238</v>
      </c>
      <c r="AC111" s="3">
        <f>(F111*T111)/365.26/Agriculture!$D$2</f>
        <v>0.51514674478453704</v>
      </c>
      <c r="AD111" s="4">
        <f>SUM(Y111:Z111)*Conversion!$F$18</f>
        <v>3.3512835924486395E-2</v>
      </c>
      <c r="AE111">
        <f t="shared" si="33"/>
        <v>55.5</v>
      </c>
      <c r="AF111" s="4">
        <f t="shared" si="21"/>
        <v>1.8599623938089949</v>
      </c>
    </row>
    <row r="112" spans="1:32" ht="18">
      <c r="A112" t="s">
        <v>104</v>
      </c>
      <c r="B112">
        <v>9</v>
      </c>
      <c r="C112">
        <v>1</v>
      </c>
      <c r="D112">
        <f t="shared" si="32"/>
        <v>45.085760286225408</v>
      </c>
      <c r="F112" s="3">
        <f>IF(D112&gt;0,D112*Agriculture!$D$2+Agriculture!$E$16*E112,IF(E112&gt;0,0,Agriculture!$D$2*0.025))</f>
        <v>88097.57559928445</v>
      </c>
      <c r="G112" s="3">
        <f>L112*1/Agriculture!$C$49*Agriculture!$E$16</f>
        <v>0</v>
      </c>
      <c r="I112">
        <v>3086</v>
      </c>
      <c r="K112" s="54">
        <f>IF(I112&gt;0,I112,J112/2000*Conversion!$D$22)</f>
        <v>3086</v>
      </c>
      <c r="O112" s="66">
        <v>13.7</v>
      </c>
      <c r="P112" s="66">
        <v>1.87</v>
      </c>
      <c r="Q112" s="66">
        <v>0</v>
      </c>
      <c r="R112" s="66">
        <v>72.569999999999993</v>
      </c>
      <c r="S112" s="66">
        <v>1083</v>
      </c>
      <c r="T112" s="67">
        <f t="shared" si="29"/>
        <v>3619.0999999999995</v>
      </c>
      <c r="U112">
        <v>2.5</v>
      </c>
      <c r="W112">
        <v>1</v>
      </c>
      <c r="X112">
        <f t="shared" si="30"/>
        <v>1</v>
      </c>
      <c r="Y112" s="3">
        <f>IF(V112&lt;5,IF(K112&gt;0,F112/K112/X112*Conversion!$E$17,0))</f>
        <v>285474.96953753871</v>
      </c>
      <c r="Z112" s="3">
        <f>IF(L112&gt;0,G112/L112/X112*Conversion!$E$17,0)</f>
        <v>0</v>
      </c>
      <c r="AA112" s="3" t="b">
        <f>IF(V112&gt;5,IF(K112&gt;0,F112/K112/X112*Conversion!$E$17,0))</f>
        <v>0</v>
      </c>
      <c r="AB112" s="3">
        <f t="shared" si="31"/>
        <v>713687.42384384677</v>
      </c>
      <c r="AC112" s="3">
        <f>(F112*T112)/365.26/Agriculture!$D$2</f>
        <v>446.7225402504472</v>
      </c>
      <c r="AD112" s="4">
        <f>SUM(Y112:Z112)*Conversion!$F$18</f>
        <v>70.543719722421187</v>
      </c>
      <c r="AE112">
        <f t="shared" si="33"/>
        <v>55.5</v>
      </c>
      <c r="AF112" s="4">
        <f t="shared" si="21"/>
        <v>3915.1764445943759</v>
      </c>
    </row>
    <row r="113" spans="1:33" ht="18">
      <c r="A113" t="s">
        <v>402</v>
      </c>
      <c r="B113">
        <v>9</v>
      </c>
      <c r="C113">
        <v>0.5</v>
      </c>
      <c r="D113">
        <f t="shared" si="32"/>
        <v>22.542880143112704</v>
      </c>
      <c r="F113" s="3">
        <f>IF(D113&gt;0,D113*Agriculture!$D$2+Agriculture!$E$16*E113,IF(E113&gt;0,0,Agriculture!$D$2*0.025))</f>
        <v>44048.787799642225</v>
      </c>
      <c r="G113" s="3">
        <f>L113*1/Agriculture!$C$49*Agriculture!$E$16</f>
        <v>0</v>
      </c>
      <c r="I113">
        <v>600</v>
      </c>
      <c r="K113" s="54">
        <f>IF(I113&gt;0,I113,J113/2000*Conversion!$D$22)</f>
        <v>600</v>
      </c>
      <c r="O113" s="66">
        <v>14.73</v>
      </c>
      <c r="P113" s="66">
        <v>1.08</v>
      </c>
      <c r="Q113" s="66">
        <v>27.7</v>
      </c>
      <c r="R113" s="66">
        <v>74.900000000000006</v>
      </c>
      <c r="S113" s="66">
        <v>214</v>
      </c>
      <c r="T113" s="67">
        <f t="shared" si="29"/>
        <v>6175.4000000000005</v>
      </c>
      <c r="X113">
        <f t="shared" si="30"/>
        <v>1</v>
      </c>
      <c r="Y113" s="3">
        <f>IF(V113&lt;5,IF(K113&gt;0,F113/K113/X113*Conversion!$E$17,0))</f>
        <v>734146.46332737035</v>
      </c>
      <c r="Z113" s="3">
        <f>IF(L113&gt;0,G113/L113/X113*Conversion!$E$17,0)</f>
        <v>0</v>
      </c>
      <c r="AA113" s="3" t="b">
        <f>IF(V113&gt;5,IF(K113&gt;0,F113/K113/X113*Conversion!$E$17,0))</f>
        <v>0</v>
      </c>
      <c r="AB113" s="3">
        <f t="shared" si="31"/>
        <v>734146.46332737035</v>
      </c>
      <c r="AC113" s="3">
        <f>(F113*T113)/365.26/Agriculture!$D$2</f>
        <v>381.12933810375682</v>
      </c>
      <c r="AD113" s="4">
        <f>SUM(Y113:Z113)*Conversion!$F$18</f>
        <v>181.41493255282649</v>
      </c>
      <c r="AE113">
        <f t="shared" si="33"/>
        <v>55.5</v>
      </c>
      <c r="AF113" s="4">
        <f t="shared" si="21"/>
        <v>10068.52875668187</v>
      </c>
    </row>
    <row r="114" spans="1:33" ht="18">
      <c r="F114" s="3"/>
      <c r="G114" s="3"/>
      <c r="K114" s="54"/>
      <c r="O114" s="66"/>
      <c r="P114" s="66"/>
      <c r="Q114" s="66"/>
      <c r="R114" s="66"/>
      <c r="S114" s="66"/>
      <c r="T114" s="67"/>
      <c r="Y114" s="3"/>
      <c r="Z114" s="3"/>
      <c r="AA114" s="3"/>
      <c r="AB114" s="3"/>
      <c r="AC114" s="3"/>
      <c r="AD114" s="4">
        <f>SUM(Y114:Z114)*Conversion!$F$18</f>
        <v>0</v>
      </c>
      <c r="AE114">
        <f t="shared" si="23"/>
        <v>14.8</v>
      </c>
      <c r="AF114" s="4">
        <f t="shared" si="21"/>
        <v>0</v>
      </c>
    </row>
    <row r="115" spans="1:33" ht="18">
      <c r="A115" t="str">
        <f>Agriculture!B34</f>
        <v>Protein - Vegetable</v>
      </c>
      <c r="B115">
        <f>COUNT(B116:B120)</f>
        <v>5</v>
      </c>
      <c r="C115">
        <f>SUM(C116:C120)</f>
        <v>4</v>
      </c>
      <c r="D115">
        <f>Agriculture!G34</f>
        <v>9.5705144230769239</v>
      </c>
      <c r="F115" s="3"/>
      <c r="G115" s="3"/>
      <c r="K115" s="54"/>
      <c r="O115" s="66"/>
      <c r="P115" s="66"/>
      <c r="Q115" s="66"/>
      <c r="R115" s="66"/>
      <c r="S115" s="66"/>
      <c r="T115" s="67"/>
      <c r="Y115" s="3"/>
      <c r="Z115" s="3"/>
      <c r="AA115" s="3"/>
      <c r="AB115" s="3"/>
      <c r="AC115" s="3"/>
      <c r="AD115" s="4">
        <f>SUM(Y115:Z115)*Conversion!$F$18</f>
        <v>0</v>
      </c>
      <c r="AE115">
        <f t="shared" si="23"/>
        <v>14.8</v>
      </c>
      <c r="AF115" s="4">
        <f t="shared" si="21"/>
        <v>0</v>
      </c>
    </row>
    <row r="116" spans="1:33" ht="18">
      <c r="A116" t="s">
        <v>116</v>
      </c>
      <c r="B116">
        <v>11</v>
      </c>
      <c r="C116">
        <v>1</v>
      </c>
      <c r="D116">
        <f>$D$115*C116/$C$115</f>
        <v>2.392628605769231</v>
      </c>
      <c r="E116">
        <v>0.05</v>
      </c>
      <c r="F116" s="3">
        <f>IF(D116&gt;0,D116*Agriculture!$D$2+Agriculture!$E$16*E116,IF(E116&gt;0,0,Agriculture!$D$2*0.025))</f>
        <v>150756.42645781397</v>
      </c>
      <c r="G116" s="3">
        <f>L116*1/Agriculture!$C$49*Agriculture!$E$16</f>
        <v>96848.740808929942</v>
      </c>
      <c r="H116" t="s">
        <v>421</v>
      </c>
      <c r="I116">
        <v>3086</v>
      </c>
      <c r="K116" s="54">
        <f>IF(I116&gt;0,I116,J116/2000*Conversion!$D$22)</f>
        <v>3086</v>
      </c>
      <c r="L116">
        <f>I116</f>
        <v>3086</v>
      </c>
      <c r="O116" s="66">
        <v>13.56</v>
      </c>
      <c r="P116" s="66">
        <v>7.02</v>
      </c>
      <c r="Q116">
        <v>0</v>
      </c>
      <c r="R116" s="66">
        <v>65.25</v>
      </c>
      <c r="S116" s="67">
        <v>1133</v>
      </c>
      <c r="T116" s="67">
        <f>(O116*4+R116*4+P116*9+Q116*9)*10</f>
        <v>3784.2000000000003</v>
      </c>
      <c r="W116">
        <v>1</v>
      </c>
      <c r="X116">
        <f>IF(N116&gt;0,1,IF(M116&gt;0,FLOOR(365.26/M116,0.1),1))</f>
        <v>1</v>
      </c>
      <c r="Y116" s="3">
        <f>IF(V116&lt;5,IF(K116&gt;0,F116/K116/X116*Conversion!$E$17,0))</f>
        <v>488517.26007068687</v>
      </c>
      <c r="Z116" s="3">
        <f>IF(L116&gt;0,G116/L116/X116*Conversion!$E$17,0)</f>
        <v>313832.60145473084</v>
      </c>
      <c r="AA116" s="3" t="b">
        <f>IF(V116&gt;5,IF(K116&gt;0,F116/K116/X116*Conversion!$E$17,0))</f>
        <v>0</v>
      </c>
      <c r="AB116" s="3">
        <f>(Y116+Z116)*IF(U116&gt;0,U116,1)</f>
        <v>802349.86152541777</v>
      </c>
      <c r="AC116" s="3">
        <f>(F116*T116)/365.26/Agriculture!$D$2</f>
        <v>799.32471512371978</v>
      </c>
      <c r="AD116" s="4">
        <f>SUM(Y116:Z116)*Conversion!$F$18</f>
        <v>198.26867428154597</v>
      </c>
      <c r="AE116">
        <f t="shared" si="23"/>
        <v>14.8</v>
      </c>
      <c r="AF116" s="4">
        <f t="shared" si="21"/>
        <v>2934.3763793668804</v>
      </c>
    </row>
    <row r="117" spans="1:33" ht="18">
      <c r="A117" t="s">
        <v>114</v>
      </c>
      <c r="B117">
        <v>11</v>
      </c>
      <c r="C117">
        <v>1</v>
      </c>
      <c r="D117">
        <f t="shared" ref="D117:D120" si="34">$D$115*C117/$C$115</f>
        <v>2.392628605769231</v>
      </c>
      <c r="F117" s="3">
        <f>IF(D117&gt;0,D117*Agriculture!$D$2+Agriculture!$E$16*E117,IF(E117&gt;0,0,Agriculture!$D$2*0.025))</f>
        <v>4675.1962956730777</v>
      </c>
      <c r="G117" s="3">
        <f>L117*1/Agriculture!$C$49*Agriculture!$E$16</f>
        <v>0</v>
      </c>
      <c r="H117" t="s">
        <v>421</v>
      </c>
      <c r="I117">
        <v>1554</v>
      </c>
      <c r="K117" s="54">
        <f>IF(I117&gt;0,I117,J117/2000*Conversion!$D$22)</f>
        <v>1554</v>
      </c>
      <c r="O117" s="66">
        <v>25.8</v>
      </c>
      <c r="P117" s="66">
        <v>49.24</v>
      </c>
      <c r="Q117" s="66">
        <v>31.6</v>
      </c>
      <c r="R117" s="66">
        <v>16.13</v>
      </c>
      <c r="S117" s="66">
        <v>923</v>
      </c>
      <c r="T117" s="67">
        <f>(O117*4+R117*4+P117*9+Q117*9)*10</f>
        <v>8952.7999999999993</v>
      </c>
      <c r="W117">
        <v>1</v>
      </c>
      <c r="X117">
        <f>IF(N117&gt;0,1,IF(M117&gt;0,FLOOR(365.26/M117,0.1),1))</f>
        <v>1</v>
      </c>
      <c r="Y117" s="3">
        <f>IF(V117&lt;5,IF(K117&gt;0,F117/K117/X117*Conversion!$E$17,0))</f>
        <v>30084.9182475745</v>
      </c>
      <c r="Z117" s="3">
        <f>IF(L117&gt;0,G117/L117/X117*Conversion!$E$17,0)</f>
        <v>0</v>
      </c>
      <c r="AA117" s="3" t="b">
        <f>IF(V117&gt;5,IF(K117&gt;0,F117/K117/X117*Conversion!$E$17,0))</f>
        <v>0</v>
      </c>
      <c r="AB117" s="3">
        <f>(Y117+Z117)*IF(U117&gt;0,U117,1)</f>
        <v>30084.9182475745</v>
      </c>
      <c r="AC117" s="3">
        <f>(F117*T117)/365.26/Agriculture!$D$2</f>
        <v>58.64514423076924</v>
      </c>
      <c r="AD117" s="4">
        <f>SUM(Y117:Z117)*Conversion!$F$18</f>
        <v>7.4342841481581345</v>
      </c>
      <c r="AE117">
        <f t="shared" si="23"/>
        <v>14.8</v>
      </c>
      <c r="AF117" s="4">
        <f t="shared" si="21"/>
        <v>110.02740539274039</v>
      </c>
    </row>
    <row r="118" spans="1:33" ht="18">
      <c r="A118" t="s">
        <v>392</v>
      </c>
      <c r="B118">
        <v>11</v>
      </c>
      <c r="D118">
        <f t="shared" si="34"/>
        <v>0</v>
      </c>
      <c r="F118" s="3">
        <f>IF(D118&gt;0,D118*Agriculture!$D$2+Agriculture!$E$16*E118,IF(E118&gt;0,0,Agriculture!$D$2*0.025))</f>
        <v>48.85</v>
      </c>
      <c r="G118" s="3">
        <f>L118*1/Agriculture!$C$49*Agriculture!$E$16</f>
        <v>0</v>
      </c>
      <c r="H118" t="s">
        <v>421</v>
      </c>
      <c r="I118">
        <v>4000</v>
      </c>
      <c r="K118" s="54">
        <f>IF(I118&gt;0,I118,J118/2000*Conversion!$D$22)</f>
        <v>4000</v>
      </c>
      <c r="O118" s="66">
        <v>28.5</v>
      </c>
      <c r="P118" s="66">
        <v>54.8</v>
      </c>
      <c r="Q118" s="66">
        <v>82</v>
      </c>
      <c r="R118" s="66">
        <v>17.7</v>
      </c>
      <c r="S118" s="66">
        <v>2638</v>
      </c>
      <c r="T118" s="67">
        <f>(O118*4+R118*4+P118*9+Q118*9)*10</f>
        <v>14160</v>
      </c>
      <c r="X118">
        <f>IF(N118&gt;0,1,IF(M118&gt;0,FLOOR(365.26/M118,0.1),1))</f>
        <v>1</v>
      </c>
      <c r="Y118" s="3">
        <f>IF(V118&lt;5,IF(K118&gt;0,F118/K118/X118*Conversion!$E$17,0))</f>
        <v>122.12500000000001</v>
      </c>
      <c r="Z118" s="3">
        <f>IF(L118&gt;0,G118/L118/X118*Conversion!$E$17,0)</f>
        <v>0</v>
      </c>
      <c r="AA118" s="3" t="b">
        <f>IF(V118&gt;5,IF(K118&gt;0,F118/K118/X118*Conversion!$E$17,0))</f>
        <v>0</v>
      </c>
      <c r="AB118" s="3">
        <f>(Y118+Z118)*IF(U118&gt;0,U118,1)</f>
        <v>122.12500000000001</v>
      </c>
      <c r="AC118" s="3">
        <f>(F118*T118)/365.26/Agriculture!$D$2</f>
        <v>0.96917264414389759</v>
      </c>
      <c r="AD118" s="4">
        <f>SUM(Y118:Z118)*Conversion!$F$18</f>
        <v>3.0178308750000001E-2</v>
      </c>
      <c r="AE118">
        <f t="shared" si="23"/>
        <v>14.8</v>
      </c>
      <c r="AF118" s="4">
        <f t="shared" si="21"/>
        <v>0.44663896950000004</v>
      </c>
    </row>
    <row r="119" spans="1:33" ht="18">
      <c r="A119" t="s">
        <v>395</v>
      </c>
      <c r="B119">
        <v>11</v>
      </c>
      <c r="C119">
        <v>1</v>
      </c>
      <c r="D119">
        <f t="shared" si="34"/>
        <v>2.392628605769231</v>
      </c>
      <c r="F119" s="3">
        <f>IF(D119&gt;0,D119*Agriculture!$D$2+Agriculture!$E$16*E119,IF(E119&gt;0,0,Agriculture!$D$2*0.025))</f>
        <v>4675.1962956730777</v>
      </c>
      <c r="G119" s="3">
        <f>L119*1/Agriculture!$C$49*Agriculture!$E$16</f>
        <v>0</v>
      </c>
      <c r="H119" t="s">
        <v>421</v>
      </c>
      <c r="I119">
        <v>1459</v>
      </c>
      <c r="K119" s="54">
        <f>IF(I119&gt;0,I119,J119/2000*Conversion!$D$22)</f>
        <v>1459</v>
      </c>
      <c r="O119" s="66">
        <v>11.3</v>
      </c>
      <c r="P119" s="66">
        <v>3.3</v>
      </c>
      <c r="Q119" s="66">
        <v>0</v>
      </c>
      <c r="R119" s="66">
        <v>74.63</v>
      </c>
      <c r="S119" s="66">
        <v>529</v>
      </c>
      <c r="T119" s="67">
        <f>(O119*4+R119*4+P119*9+Q119*9)*10</f>
        <v>3734.2</v>
      </c>
      <c r="X119">
        <f>IF(N119&gt;0,1,IF(M119&gt;0,FLOOR(365.26/M119,0.1),1))</f>
        <v>1</v>
      </c>
      <c r="Y119" s="3">
        <f>IF(V119&lt;5,IF(K119&gt;0,F119/K119/X119*Conversion!$E$17,0))</f>
        <v>32043.840271919657</v>
      </c>
      <c r="Z119" s="3">
        <f>IF(L119&gt;0,G119/L119/X119*Conversion!$E$17,0)</f>
        <v>0</v>
      </c>
      <c r="AA119" s="3" t="b">
        <f>IF(V119&gt;5,IF(K119&gt;0,F119/K119/X119*Conversion!$E$17,0))</f>
        <v>0</v>
      </c>
      <c r="AB119" s="3">
        <f>(Y119+Z119)*IF(U119&gt;0,U119,1)</f>
        <v>32043.840271919657</v>
      </c>
      <c r="AC119" s="3">
        <f>(F119*T119)/365.26/Agriculture!$D$2</f>
        <v>24.460805288461543</v>
      </c>
      <c r="AD119" s="4">
        <f>SUM(Y119:Z119)*Conversion!$F$18</f>
        <v>7.9183533695940662</v>
      </c>
      <c r="AE119">
        <f>46.7+18.2+17.6+6.7+24.4+10.5+9.4</f>
        <v>133.5</v>
      </c>
      <c r="AF119" s="4">
        <f t="shared" si="21"/>
        <v>1057.1001748408078</v>
      </c>
    </row>
    <row r="120" spans="1:33" ht="18">
      <c r="A120" t="s">
        <v>117</v>
      </c>
      <c r="B120">
        <v>11</v>
      </c>
      <c r="C120">
        <v>1</v>
      </c>
      <c r="D120">
        <f t="shared" si="34"/>
        <v>2.392628605769231</v>
      </c>
      <c r="F120" s="3">
        <f>IF(D120&gt;0,D120*Agriculture!$D$2+Agriculture!$E$16*E120,IF(E120&gt;0,0,Agriculture!$D$2*0.025))</f>
        <v>4675.1962956730777</v>
      </c>
      <c r="G120" s="3">
        <f>L120*1/Agriculture!$C$49*Agriculture!$E$16</f>
        <v>0</v>
      </c>
      <c r="H120" t="s">
        <v>421</v>
      </c>
      <c r="I120">
        <v>2384</v>
      </c>
      <c r="K120" s="54">
        <f>IF(I120&gt;0,I120,J120/2000*Conversion!$D$22)</f>
        <v>2384</v>
      </c>
      <c r="O120" s="66">
        <v>36.49</v>
      </c>
      <c r="P120" s="66">
        <v>19.940000000000001</v>
      </c>
      <c r="Q120" s="66">
        <v>57</v>
      </c>
      <c r="R120" s="66">
        <v>30.16</v>
      </c>
      <c r="S120" s="66">
        <v>529</v>
      </c>
      <c r="T120" s="67">
        <f>(O120*4+R120*4+P120*9+Q120*9)*10</f>
        <v>9590.6</v>
      </c>
      <c r="W120">
        <v>1</v>
      </c>
      <c r="X120">
        <f>IF(N120&gt;0,1,IF(M120&gt;0,FLOOR(365.26/M120,0.1),1))</f>
        <v>1</v>
      </c>
      <c r="Y120" s="3">
        <f>IF(V120&lt;5,IF(K120&gt;0,F120/K120/X120*Conversion!$E$17,0))</f>
        <v>19610.722716749486</v>
      </c>
      <c r="Z120" s="3">
        <f>IF(L120&gt;0,G120/L120/X120*Conversion!$E$17,0)</f>
        <v>0</v>
      </c>
      <c r="AA120" s="3" t="b">
        <f>IF(V120&gt;5,IF(K120&gt;0,F120/K120/X120*Conversion!$E$17,0))</f>
        <v>0</v>
      </c>
      <c r="AB120" s="3">
        <f>(Y120+Z120)*IF(U120&gt;0,U120,1)</f>
        <v>19610.722716749486</v>
      </c>
      <c r="AC120" s="3">
        <f>(F120*T120)/365.26/Agriculture!$D$2</f>
        <v>62.823040865384634</v>
      </c>
      <c r="AD120" s="4">
        <f>SUM(Y120:Z120)*Conversion!$F$18</f>
        <v>4.8460056905359652</v>
      </c>
      <c r="AE120">
        <f t="shared" si="23"/>
        <v>14.8</v>
      </c>
      <c r="AF120" s="4">
        <f t="shared" si="21"/>
        <v>71.720884219932287</v>
      </c>
    </row>
    <row r="121" spans="1:33" ht="18">
      <c r="H121" s="66"/>
      <c r="I121" s="66"/>
      <c r="J121" s="66"/>
      <c r="K121" s="66"/>
      <c r="L121" s="66"/>
      <c r="M121" s="66"/>
      <c r="N121" s="66"/>
      <c r="O121" s="66"/>
    </row>
    <row r="122" spans="1:33">
      <c r="A122" t="s">
        <v>260</v>
      </c>
    </row>
    <row r="123" spans="1:33">
      <c r="E123" s="3"/>
    </row>
    <row r="124" spans="1:33">
      <c r="A124" t="s">
        <v>299</v>
      </c>
      <c r="G124">
        <f>Cattle!C8</f>
        <v>2693427.2399999998</v>
      </c>
    </row>
    <row r="125" spans="1:33">
      <c r="A125" t="s">
        <v>300</v>
      </c>
      <c r="Q125" s="3"/>
      <c r="R125" s="3"/>
    </row>
    <row r="126" spans="1:33">
      <c r="A126" t="s">
        <v>263</v>
      </c>
      <c r="D126">
        <v>0.7</v>
      </c>
      <c r="G126">
        <f>G124*D126</f>
        <v>1885399.0679999997</v>
      </c>
      <c r="Q126" s="3"/>
      <c r="R126" s="3"/>
    </row>
    <row r="127" spans="1:33">
      <c r="A127" t="s">
        <v>268</v>
      </c>
      <c r="G127" s="3">
        <f>IF((G128+G129)&lt;G126,(G126-(G128+G129))/I127,0)</f>
        <v>250.83521683785858</v>
      </c>
      <c r="I127">
        <f>3500*2</f>
        <v>7000</v>
      </c>
      <c r="O127">
        <v>0.5</v>
      </c>
      <c r="Q127" s="3">
        <f>S127*10000000*IF(O127&gt;0,O127,3)</f>
        <v>1791.6801202704185</v>
      </c>
      <c r="R127" s="3"/>
      <c r="S127">
        <f>G127/(I127*Conversion!$D$16)</f>
        <v>3.5833602405408371E-4</v>
      </c>
      <c r="W127">
        <v>1</v>
      </c>
      <c r="X127">
        <f>IF(N127&gt;0,1,IF(M127&gt;0,FLOOR(365.26/M127,0.1),1))</f>
        <v>1</v>
      </c>
      <c r="Y127" s="3">
        <f>IF(K127&gt;0,H127/K127/X127*Conversion!$E$17,0)</f>
        <v>0</v>
      </c>
      <c r="Z127" s="3">
        <f>IF(L127&gt;0,I127/L127/X127*Conversion!$E$17,0)</f>
        <v>0</v>
      </c>
      <c r="AA127" s="3"/>
      <c r="AB127" s="3">
        <f>(Y127+Z127)*IF(U127&gt;0,U127,1)</f>
        <v>0</v>
      </c>
      <c r="AC127" s="3">
        <f>(H127*T127)/365.26/Agriculture!$D$2</f>
        <v>0</v>
      </c>
      <c r="AD127" s="4">
        <f>SUM(Y127:Z127)*Conversion!$F$18</f>
        <v>0</v>
      </c>
      <c r="AE127">
        <f t="shared" ref="AE127" si="35">1.5+9.4+3.9</f>
        <v>14.8</v>
      </c>
      <c r="AF127" s="4">
        <f t="shared" ref="AF127" si="36">X127*AD127*AE127</f>
        <v>0</v>
      </c>
      <c r="AG127" t="s">
        <v>265</v>
      </c>
    </row>
    <row r="128" spans="1:33">
      <c r="A128" t="s">
        <v>270</v>
      </c>
      <c r="G128" s="3">
        <f>J128*0.0001*I128</f>
        <v>52062.5</v>
      </c>
      <c r="I128">
        <v>3500</v>
      </c>
      <c r="J128">
        <f>Vehicle!B19</f>
        <v>148750</v>
      </c>
      <c r="O128">
        <v>0.5</v>
      </c>
      <c r="Q128" s="3"/>
      <c r="R128" s="3"/>
      <c r="S128" s="3"/>
    </row>
    <row r="129" spans="1:33">
      <c r="A129" t="s">
        <v>269</v>
      </c>
      <c r="G129" s="3">
        <f>J129*0.0001*I129*0.5</f>
        <v>77490.050134989768</v>
      </c>
      <c r="I129">
        <v>3500</v>
      </c>
      <c r="J129">
        <f>Vehicle!B23*0.75</f>
        <v>442800.28648565582</v>
      </c>
      <c r="O129">
        <v>0.5</v>
      </c>
      <c r="Q129" s="3"/>
      <c r="R129" s="3"/>
    </row>
    <row r="130" spans="1:33">
      <c r="A130" t="s">
        <v>261</v>
      </c>
      <c r="G130" s="3">
        <f>(D6+D15+D18)*Agriculture!D2</f>
        <v>84589.632455813946</v>
      </c>
      <c r="O130">
        <v>0.5</v>
      </c>
      <c r="Q130" s="3"/>
      <c r="R130" s="3"/>
      <c r="AG130" t="s">
        <v>264</v>
      </c>
    </row>
  </sheetData>
  <sortState ref="A18:AJ120">
    <sortCondition ref="B18:B120"/>
    <sortCondition ref="A18:A120"/>
  </sortState>
  <pageMargins left="0.7" right="0.7" top="0.75" bottom="0.75" header="0.3" footer="0.3"/>
  <pageSetup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F9450-562D-2D40-BB76-707A09BB98FE}">
  <dimension ref="A1:Q30"/>
  <sheetViews>
    <sheetView workbookViewId="0"/>
  </sheetViews>
  <sheetFormatPr baseColWidth="10" defaultRowHeight="16"/>
  <cols>
    <col min="1" max="1" width="18.6640625" bestFit="1" customWidth="1"/>
  </cols>
  <sheetData>
    <row r="1" spans="1:17">
      <c r="A1" t="s">
        <v>484</v>
      </c>
      <c r="B1" t="s">
        <v>497</v>
      </c>
    </row>
    <row r="2" spans="1:17">
      <c r="A2" t="s">
        <v>495</v>
      </c>
      <c r="B2" t="s">
        <v>469</v>
      </c>
    </row>
    <row r="3" spans="1:17">
      <c r="A3" t="s">
        <v>496</v>
      </c>
      <c r="B3" t="s">
        <v>895</v>
      </c>
    </row>
    <row r="4" spans="1:17">
      <c r="K4" s="7"/>
    </row>
    <row r="5" spans="1:17">
      <c r="B5" t="s">
        <v>489</v>
      </c>
      <c r="F5">
        <f>AVERAGE(F9:F16)</f>
        <v>3333.125</v>
      </c>
      <c r="H5">
        <f>AVERAGE(H9:H26)</f>
        <v>46.611111111111114</v>
      </c>
      <c r="I5">
        <f>AVERAGE(I9:I18)</f>
        <v>395.1</v>
      </c>
      <c r="J5">
        <f>AVERAGE(J9:J19)</f>
        <v>698.36363636363637</v>
      </c>
      <c r="K5">
        <f>AVERAGE(K9:K20)</f>
        <v>463.25</v>
      </c>
      <c r="L5">
        <f>AVERAGE(L9:L16)</f>
        <v>376.875</v>
      </c>
      <c r="M5">
        <f>AVERAGE(M9:M21)</f>
        <v>200.30769230769232</v>
      </c>
      <c r="N5">
        <f>AVERAGE(N9:N26)</f>
        <v>126.22222222222223</v>
      </c>
      <c r="O5">
        <f>AVERAGE(O9:O26)</f>
        <v>44.166666666666664</v>
      </c>
      <c r="P5">
        <f>AVERAGE(P9:P26)</f>
        <v>1035</v>
      </c>
      <c r="Q5">
        <f>AVERAGE(Q9:Q19)</f>
        <v>161.72727272727272</v>
      </c>
    </row>
    <row r="6" spans="1:17">
      <c r="A6" t="s">
        <v>485</v>
      </c>
      <c r="D6" s="5">
        <v>28</v>
      </c>
      <c r="E6" s="7"/>
      <c r="F6" s="7"/>
      <c r="G6" s="7"/>
      <c r="K6">
        <v>8</v>
      </c>
    </row>
    <row r="7" spans="1:17">
      <c r="A7" t="s">
        <v>486</v>
      </c>
      <c r="D7" s="5"/>
      <c r="E7" s="7"/>
      <c r="F7" s="7"/>
      <c r="G7" s="7"/>
      <c r="H7" t="s">
        <v>518</v>
      </c>
      <c r="K7">
        <v>103</v>
      </c>
    </row>
    <row r="8" spans="1:17">
      <c r="C8" t="s">
        <v>896</v>
      </c>
      <c r="D8" t="s">
        <v>499</v>
      </c>
      <c r="E8" t="s">
        <v>8</v>
      </c>
      <c r="F8" t="s">
        <v>511</v>
      </c>
      <c r="H8" s="70" t="s">
        <v>485</v>
      </c>
      <c r="I8" s="70" t="s">
        <v>486</v>
      </c>
      <c r="J8" s="70" t="s">
        <v>519</v>
      </c>
      <c r="K8" s="70" t="s">
        <v>520</v>
      </c>
      <c r="L8" s="70" t="s">
        <v>521</v>
      </c>
      <c r="M8" s="70" t="s">
        <v>522</v>
      </c>
      <c r="N8" s="70" t="s">
        <v>523</v>
      </c>
      <c r="O8" s="70" t="s">
        <v>524</v>
      </c>
      <c r="P8" s="70" t="s">
        <v>525</v>
      </c>
      <c r="Q8" s="70" t="s">
        <v>526</v>
      </c>
    </row>
    <row r="9" spans="1:17">
      <c r="A9" s="5" t="s">
        <v>487</v>
      </c>
      <c r="B9" s="135">
        <v>82.17</v>
      </c>
      <c r="C9" s="5">
        <v>5</v>
      </c>
      <c r="D9" t="s">
        <v>506</v>
      </c>
      <c r="E9">
        <v>2013</v>
      </c>
      <c r="F9">
        <f t="shared" ref="F9:F26" si="0">SUM(H9:Q9)</f>
        <v>2685</v>
      </c>
      <c r="G9" s="5" t="str">
        <f>A9</f>
        <v>Japan</v>
      </c>
      <c r="H9">
        <v>48</v>
      </c>
      <c r="I9">
        <v>237</v>
      </c>
      <c r="J9">
        <v>521</v>
      </c>
      <c r="K9">
        <v>320</v>
      </c>
      <c r="L9">
        <v>190</v>
      </c>
      <c r="M9">
        <v>119</v>
      </c>
      <c r="N9">
        <v>58</v>
      </c>
      <c r="O9">
        <v>14</v>
      </c>
      <c r="P9">
        <v>1055</v>
      </c>
      <c r="Q9">
        <v>123</v>
      </c>
    </row>
    <row r="10" spans="1:17" ht="17">
      <c r="A10" s="7" t="s">
        <v>512</v>
      </c>
      <c r="B10" s="134">
        <v>81.72</v>
      </c>
      <c r="C10" s="69">
        <v>9</v>
      </c>
      <c r="D10" t="s">
        <v>513</v>
      </c>
      <c r="E10">
        <v>2013</v>
      </c>
      <c r="F10">
        <f t="shared" si="0"/>
        <v>3213</v>
      </c>
      <c r="G10" s="5" t="str">
        <f>A10</f>
        <v>Australia</v>
      </c>
      <c r="H10">
        <v>63</v>
      </c>
      <c r="I10">
        <v>393</v>
      </c>
      <c r="J10">
        <v>762</v>
      </c>
      <c r="K10">
        <v>496</v>
      </c>
      <c r="L10">
        <v>350</v>
      </c>
      <c r="M10">
        <v>185</v>
      </c>
      <c r="N10">
        <v>91</v>
      </c>
      <c r="O10">
        <v>11</v>
      </c>
      <c r="P10">
        <v>732</v>
      </c>
      <c r="Q10">
        <v>130</v>
      </c>
    </row>
    <row r="11" spans="1:17">
      <c r="A11" s="7" t="s">
        <v>490</v>
      </c>
      <c r="B11" s="134">
        <v>81.290000000000006</v>
      </c>
      <c r="C11" s="134">
        <v>10</v>
      </c>
      <c r="D11" t="s">
        <v>500</v>
      </c>
      <c r="E11">
        <v>2013</v>
      </c>
      <c r="F11">
        <f t="shared" si="0"/>
        <v>3447</v>
      </c>
      <c r="G11" s="5" t="str">
        <f>A11</f>
        <v>Canada</v>
      </c>
      <c r="H11">
        <v>42</v>
      </c>
      <c r="I11">
        <v>416</v>
      </c>
      <c r="J11">
        <v>917</v>
      </c>
      <c r="K11">
        <v>390</v>
      </c>
      <c r="L11">
        <v>259</v>
      </c>
      <c r="M11">
        <v>211</v>
      </c>
      <c r="N11">
        <v>135</v>
      </c>
      <c r="O11">
        <v>98</v>
      </c>
      <c r="P11">
        <v>873</v>
      </c>
      <c r="Q11">
        <v>106</v>
      </c>
    </row>
    <row r="12" spans="1:17">
      <c r="A12" s="7" t="s">
        <v>888</v>
      </c>
      <c r="B12" s="134">
        <v>81.09</v>
      </c>
      <c r="C12" s="7">
        <v>12</v>
      </c>
      <c r="D12" t="s">
        <v>889</v>
      </c>
      <c r="E12">
        <v>2013</v>
      </c>
      <c r="F12">
        <f>SUM(H12:Q12)</f>
        <v>3536</v>
      </c>
      <c r="G12" s="5" t="str">
        <f>A12</f>
        <v>France</v>
      </c>
      <c r="H12">
        <v>57</v>
      </c>
      <c r="I12">
        <v>358</v>
      </c>
      <c r="J12">
        <v>776</v>
      </c>
      <c r="K12">
        <v>552</v>
      </c>
      <c r="L12">
        <v>390</v>
      </c>
      <c r="M12">
        <v>175</v>
      </c>
      <c r="N12">
        <v>100</v>
      </c>
      <c r="O12">
        <v>17</v>
      </c>
      <c r="P12">
        <v>972</v>
      </c>
      <c r="Q12">
        <v>139</v>
      </c>
    </row>
    <row r="13" spans="1:17">
      <c r="A13" s="7" t="s">
        <v>890</v>
      </c>
      <c r="B13" s="135">
        <v>80.97</v>
      </c>
      <c r="C13" s="7">
        <v>15</v>
      </c>
      <c r="D13" t="s">
        <v>891</v>
      </c>
      <c r="E13">
        <v>2013</v>
      </c>
      <c r="F13">
        <f t="shared" ref="F13" si="1">SUM(H13:Q13)</f>
        <v>3448</v>
      </c>
      <c r="G13" s="5" t="str">
        <f t="shared" ref="G13" si="2">A13</f>
        <v>Switzerland</v>
      </c>
      <c r="H13">
        <v>35</v>
      </c>
      <c r="I13">
        <v>567</v>
      </c>
      <c r="J13">
        <v>728</v>
      </c>
      <c r="K13">
        <v>502</v>
      </c>
      <c r="L13">
        <v>445</v>
      </c>
      <c r="M13">
        <v>191</v>
      </c>
      <c r="N13">
        <v>80</v>
      </c>
      <c r="O13">
        <v>18</v>
      </c>
      <c r="P13">
        <v>707</v>
      </c>
      <c r="Q13">
        <v>175</v>
      </c>
    </row>
    <row r="14" spans="1:17">
      <c r="A14" s="7" t="s">
        <v>488</v>
      </c>
      <c r="B14" s="135">
        <v>80.790000000000006</v>
      </c>
      <c r="C14" s="135">
        <v>17</v>
      </c>
      <c r="D14" t="s">
        <v>501</v>
      </c>
      <c r="E14">
        <v>2013</v>
      </c>
      <c r="F14">
        <f>SUM(H14:Q14)</f>
        <v>3341</v>
      </c>
      <c r="G14" s="5" t="str">
        <f t="shared" ref="G14:G26" si="3">A14</f>
        <v>Iceland</v>
      </c>
      <c r="H14">
        <v>115</v>
      </c>
      <c r="I14">
        <v>442</v>
      </c>
      <c r="J14">
        <v>445</v>
      </c>
      <c r="K14">
        <v>668</v>
      </c>
      <c r="L14">
        <v>591</v>
      </c>
      <c r="M14">
        <v>179</v>
      </c>
      <c r="N14">
        <v>103</v>
      </c>
      <c r="O14">
        <v>8</v>
      </c>
      <c r="P14">
        <v>667</v>
      </c>
      <c r="Q14">
        <v>123</v>
      </c>
    </row>
    <row r="15" spans="1:17">
      <c r="A15" s="7" t="s">
        <v>503</v>
      </c>
      <c r="B15" s="134">
        <v>80.069999999999993</v>
      </c>
      <c r="C15" s="134">
        <v>26</v>
      </c>
      <c r="D15" t="s">
        <v>504</v>
      </c>
      <c r="E15">
        <v>2013</v>
      </c>
      <c r="F15">
        <f t="shared" si="0"/>
        <v>3591</v>
      </c>
      <c r="G15" s="5" t="str">
        <f t="shared" si="3"/>
        <v>Ireland</v>
      </c>
      <c r="H15">
        <v>70</v>
      </c>
      <c r="I15">
        <v>358</v>
      </c>
      <c r="J15">
        <v>605</v>
      </c>
      <c r="K15">
        <v>410</v>
      </c>
      <c r="L15">
        <v>402</v>
      </c>
      <c r="M15">
        <v>190</v>
      </c>
      <c r="N15">
        <v>154</v>
      </c>
      <c r="O15">
        <v>48</v>
      </c>
      <c r="P15">
        <v>1068</v>
      </c>
      <c r="Q15">
        <v>286</v>
      </c>
    </row>
    <row r="16" spans="1:17">
      <c r="A16" s="7" t="s">
        <v>514</v>
      </c>
      <c r="B16" s="134">
        <v>79.92</v>
      </c>
      <c r="C16" s="134">
        <v>28</v>
      </c>
      <c r="D16" t="s">
        <v>515</v>
      </c>
      <c r="E16">
        <v>2013</v>
      </c>
      <c r="F16">
        <f t="shared" si="0"/>
        <v>3404</v>
      </c>
      <c r="G16" s="5" t="str">
        <f t="shared" si="3"/>
        <v>United Kingdom</v>
      </c>
      <c r="H16">
        <v>73</v>
      </c>
      <c r="I16">
        <v>351</v>
      </c>
      <c r="J16">
        <v>642</v>
      </c>
      <c r="K16">
        <v>483</v>
      </c>
      <c r="L16">
        <v>388</v>
      </c>
      <c r="M16">
        <v>197</v>
      </c>
      <c r="N16">
        <v>174</v>
      </c>
      <c r="O16">
        <v>28</v>
      </c>
      <c r="P16">
        <v>906</v>
      </c>
      <c r="Q16">
        <v>162</v>
      </c>
    </row>
    <row r="17" spans="1:17">
      <c r="A17" s="7" t="s">
        <v>892</v>
      </c>
      <c r="B17" s="134">
        <v>79.41</v>
      </c>
      <c r="C17" s="134">
        <v>36</v>
      </c>
      <c r="E17">
        <v>2013</v>
      </c>
      <c r="F17">
        <f t="shared" ref="F17" si="4">SUM(H17:Q17)</f>
        <v>3504</v>
      </c>
      <c r="G17" s="5" t="str">
        <f t="shared" si="3"/>
        <v>Germany</v>
      </c>
      <c r="H17">
        <v>41</v>
      </c>
      <c r="I17">
        <v>485</v>
      </c>
      <c r="J17">
        <v>795</v>
      </c>
      <c r="K17">
        <v>404</v>
      </c>
      <c r="L17">
        <v>380</v>
      </c>
      <c r="M17">
        <v>165</v>
      </c>
      <c r="N17">
        <v>119</v>
      </c>
      <c r="O17">
        <v>7</v>
      </c>
      <c r="P17">
        <v>876</v>
      </c>
      <c r="Q17">
        <v>232</v>
      </c>
    </row>
    <row r="18" spans="1:17">
      <c r="A18" s="7" t="s">
        <v>516</v>
      </c>
      <c r="B18" s="134">
        <v>78.81</v>
      </c>
      <c r="C18" s="134">
        <v>42</v>
      </c>
      <c r="D18" t="s">
        <v>517</v>
      </c>
      <c r="E18">
        <v>2013</v>
      </c>
      <c r="F18">
        <f t="shared" si="0"/>
        <v>3281</v>
      </c>
      <c r="G18" s="5" t="str">
        <f t="shared" si="3"/>
        <v>South Korea</v>
      </c>
      <c r="H18">
        <v>42</v>
      </c>
      <c r="I18">
        <v>344</v>
      </c>
      <c r="J18">
        <v>621</v>
      </c>
      <c r="K18">
        <v>364</v>
      </c>
      <c r="L18">
        <v>77</v>
      </c>
      <c r="M18">
        <v>236</v>
      </c>
      <c r="N18">
        <v>34</v>
      </c>
      <c r="O18">
        <v>13</v>
      </c>
      <c r="P18">
        <v>1414</v>
      </c>
      <c r="Q18">
        <v>136</v>
      </c>
    </row>
    <row r="19" spans="1:17">
      <c r="A19" s="7" t="s">
        <v>468</v>
      </c>
      <c r="B19" s="134">
        <v>78.239999999999995</v>
      </c>
      <c r="C19" s="134">
        <v>49</v>
      </c>
      <c r="D19" t="s">
        <v>510</v>
      </c>
      <c r="E19">
        <v>2013</v>
      </c>
      <c r="F19">
        <f t="shared" si="0"/>
        <v>3650</v>
      </c>
      <c r="G19" s="5" t="str">
        <f t="shared" si="3"/>
        <v>United States</v>
      </c>
      <c r="H19">
        <v>32</v>
      </c>
      <c r="I19">
        <v>570</v>
      </c>
      <c r="J19">
        <v>870</v>
      </c>
      <c r="K19">
        <v>469</v>
      </c>
      <c r="L19">
        <v>425</v>
      </c>
      <c r="M19">
        <v>181</v>
      </c>
      <c r="N19">
        <v>91</v>
      </c>
      <c r="O19">
        <v>38</v>
      </c>
      <c r="P19">
        <v>807</v>
      </c>
      <c r="Q19">
        <v>167</v>
      </c>
    </row>
    <row r="20" spans="1:17">
      <c r="A20" s="7" t="s">
        <v>492</v>
      </c>
      <c r="B20" s="134">
        <v>74.510000000000005</v>
      </c>
      <c r="C20" s="134">
        <v>93</v>
      </c>
      <c r="D20" t="s">
        <v>507</v>
      </c>
      <c r="E20">
        <v>2013</v>
      </c>
      <c r="F20">
        <f t="shared" si="0"/>
        <v>3044</v>
      </c>
      <c r="G20" s="5" t="str">
        <f t="shared" si="3"/>
        <v>China</v>
      </c>
      <c r="H20">
        <v>28</v>
      </c>
      <c r="I20">
        <v>68</v>
      </c>
      <c r="J20">
        <v>338</v>
      </c>
      <c r="K20">
        <v>501</v>
      </c>
      <c r="L20">
        <v>130</v>
      </c>
      <c r="M20">
        <v>306</v>
      </c>
      <c r="N20">
        <v>152</v>
      </c>
      <c r="O20">
        <v>11</v>
      </c>
      <c r="P20">
        <v>1420</v>
      </c>
      <c r="Q20">
        <v>90</v>
      </c>
    </row>
    <row r="21" spans="1:17">
      <c r="A21" s="7" t="s">
        <v>505</v>
      </c>
      <c r="B21" s="134">
        <v>73.87</v>
      </c>
      <c r="C21" s="134">
        <v>108</v>
      </c>
      <c r="D21" t="s">
        <v>509</v>
      </c>
      <c r="E21">
        <v>2013</v>
      </c>
      <c r="F21">
        <f t="shared" si="0"/>
        <v>3124</v>
      </c>
      <c r="G21" s="5" t="str">
        <f t="shared" si="3"/>
        <v>Saudi Arabia</v>
      </c>
      <c r="H21">
        <v>100</v>
      </c>
      <c r="I21">
        <v>321</v>
      </c>
      <c r="J21">
        <v>471</v>
      </c>
      <c r="K21">
        <v>256</v>
      </c>
      <c r="L21">
        <v>161</v>
      </c>
      <c r="M21">
        <v>269</v>
      </c>
      <c r="N21">
        <v>21</v>
      </c>
      <c r="O21">
        <v>53</v>
      </c>
      <c r="P21">
        <v>1472</v>
      </c>
      <c r="Q21">
        <v>0</v>
      </c>
    </row>
    <row r="22" spans="1:17">
      <c r="A22" s="7" t="s">
        <v>493</v>
      </c>
      <c r="B22" s="134">
        <v>66.459999999999994</v>
      </c>
      <c r="C22" s="134">
        <v>159</v>
      </c>
      <c r="D22" t="s">
        <v>502</v>
      </c>
      <c r="E22">
        <v>2013</v>
      </c>
      <c r="F22">
        <f t="shared" si="0"/>
        <v>2442</v>
      </c>
      <c r="G22" s="5" t="str">
        <f t="shared" si="3"/>
        <v>India</v>
      </c>
      <c r="H22">
        <v>22</v>
      </c>
      <c r="I22">
        <v>220</v>
      </c>
      <c r="J22">
        <v>325</v>
      </c>
      <c r="K22">
        <v>28</v>
      </c>
      <c r="L22">
        <v>131</v>
      </c>
      <c r="M22">
        <v>119</v>
      </c>
      <c r="N22">
        <v>56</v>
      </c>
      <c r="O22">
        <v>127</v>
      </c>
      <c r="P22">
        <v>1404</v>
      </c>
      <c r="Q22">
        <v>10</v>
      </c>
    </row>
    <row r="23" spans="1:17">
      <c r="A23" s="7" t="s">
        <v>491</v>
      </c>
      <c r="B23" s="134">
        <v>66.16</v>
      </c>
      <c r="C23" s="134">
        <v>160</v>
      </c>
      <c r="D23" t="s">
        <v>508</v>
      </c>
      <c r="E23">
        <v>2013</v>
      </c>
      <c r="F23">
        <f>SUM(H23:Q23)</f>
        <v>3302</v>
      </c>
      <c r="G23" s="5" t="str">
        <f t="shared" si="3"/>
        <v>Russia</v>
      </c>
      <c r="H23">
        <v>41</v>
      </c>
      <c r="I23">
        <v>425</v>
      </c>
      <c r="J23">
        <v>441</v>
      </c>
      <c r="K23">
        <v>338</v>
      </c>
      <c r="L23">
        <v>345</v>
      </c>
      <c r="M23">
        <v>150</v>
      </c>
      <c r="N23">
        <v>192</v>
      </c>
      <c r="O23">
        <v>17</v>
      </c>
      <c r="P23">
        <v>1172</v>
      </c>
      <c r="Q23">
        <v>181</v>
      </c>
    </row>
    <row r="24" spans="1:17">
      <c r="A24" s="7" t="s">
        <v>894</v>
      </c>
      <c r="B24" s="134">
        <v>64.03</v>
      </c>
      <c r="C24" s="134">
        <v>171</v>
      </c>
      <c r="E24">
        <v>2013</v>
      </c>
      <c r="F24">
        <f t="shared" ref="F24" si="5">SUM(H24:Q24)</f>
        <v>2960</v>
      </c>
      <c r="G24" s="5" t="str">
        <f t="shared" si="3"/>
        <v>Kiribati</v>
      </c>
      <c r="H24">
        <v>14</v>
      </c>
      <c r="I24">
        <v>454</v>
      </c>
      <c r="J24">
        <v>776</v>
      </c>
      <c r="K24">
        <v>291</v>
      </c>
      <c r="L24">
        <v>37</v>
      </c>
      <c r="M24">
        <v>147</v>
      </c>
      <c r="N24">
        <v>290</v>
      </c>
      <c r="O24">
        <v>0</v>
      </c>
      <c r="P24">
        <v>944</v>
      </c>
      <c r="Q24">
        <v>7</v>
      </c>
    </row>
    <row r="25" spans="1:17">
      <c r="A25" s="7" t="s">
        <v>893</v>
      </c>
      <c r="B25" s="134">
        <v>62.17</v>
      </c>
      <c r="C25" s="134">
        <v>179</v>
      </c>
      <c r="E25">
        <v>2013</v>
      </c>
      <c r="F25">
        <f t="shared" ref="F25" si="6">SUM(H25:Q25)</f>
        <v>2169</v>
      </c>
      <c r="G25" s="5" t="str">
        <f t="shared" si="3"/>
        <v>Haiti</v>
      </c>
      <c r="H25">
        <v>9</v>
      </c>
      <c r="I25">
        <v>176</v>
      </c>
      <c r="J25">
        <v>282</v>
      </c>
      <c r="K25">
        <v>88</v>
      </c>
      <c r="L25">
        <v>46</v>
      </c>
      <c r="M25">
        <v>112</v>
      </c>
      <c r="N25">
        <v>264</v>
      </c>
      <c r="O25">
        <v>212</v>
      </c>
      <c r="P25">
        <v>906</v>
      </c>
      <c r="Q25">
        <v>74</v>
      </c>
    </row>
    <row r="26" spans="1:17">
      <c r="A26" t="s">
        <v>494</v>
      </c>
      <c r="B26" s="134">
        <v>47.99</v>
      </c>
      <c r="C26" s="134">
        <v>217</v>
      </c>
      <c r="D26" s="70" t="s">
        <v>498</v>
      </c>
      <c r="E26" s="70">
        <v>2013</v>
      </c>
      <c r="F26">
        <f t="shared" si="0"/>
        <v>2057</v>
      </c>
      <c r="G26" s="5" t="str">
        <f t="shared" si="3"/>
        <v>Chad</v>
      </c>
      <c r="H26">
        <v>7</v>
      </c>
      <c r="I26">
        <v>90</v>
      </c>
      <c r="J26">
        <v>356</v>
      </c>
      <c r="K26">
        <v>67</v>
      </c>
      <c r="L26">
        <v>42</v>
      </c>
      <c r="M26">
        <v>21</v>
      </c>
      <c r="N26">
        <v>158</v>
      </c>
      <c r="O26">
        <v>75</v>
      </c>
      <c r="P26">
        <v>1235</v>
      </c>
      <c r="Q26">
        <v>6</v>
      </c>
    </row>
    <row r="29" spans="1:17" ht="17">
      <c r="B29" s="69"/>
      <c r="C29" s="69"/>
      <c r="E29" s="5"/>
    </row>
    <row r="30" spans="1:17" ht="17">
      <c r="B30" s="69"/>
      <c r="C30" s="69"/>
    </row>
  </sheetData>
  <pageMargins left="0.7" right="0.7" top="0.75" bottom="0.75" header="0.3" footer="0.3"/>
  <pageSetup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D8BE1-CCD1-364C-B09C-9A3732BA9B99}">
  <dimension ref="A1:J12"/>
  <sheetViews>
    <sheetView workbookViewId="0"/>
  </sheetViews>
  <sheetFormatPr baseColWidth="10" defaultRowHeight="16"/>
  <sheetData>
    <row r="1" spans="1:10">
      <c r="A1" t="s">
        <v>102</v>
      </c>
      <c r="C1">
        <f>Vehicle!E12</f>
        <v>1954</v>
      </c>
      <c r="E1">
        <f>C1*C2</f>
        <v>27356</v>
      </c>
    </row>
    <row r="2" spans="1:10">
      <c r="A2" t="s">
        <v>196</v>
      </c>
      <c r="C2">
        <v>14</v>
      </c>
      <c r="D2" t="s">
        <v>43</v>
      </c>
    </row>
    <row r="4" spans="1:10">
      <c r="B4" t="s">
        <v>186</v>
      </c>
      <c r="D4" t="s">
        <v>193</v>
      </c>
      <c r="E4" t="s">
        <v>202</v>
      </c>
      <c r="F4" t="s">
        <v>197</v>
      </c>
      <c r="G4" t="s">
        <v>187</v>
      </c>
      <c r="H4" t="s">
        <v>198</v>
      </c>
      <c r="I4" t="s">
        <v>203</v>
      </c>
      <c r="J4" t="s">
        <v>201</v>
      </c>
    </row>
    <row r="5" spans="1:10">
      <c r="B5" t="s">
        <v>183</v>
      </c>
      <c r="C5" t="s">
        <v>184</v>
      </c>
      <c r="F5" t="s">
        <v>200</v>
      </c>
      <c r="H5" t="s">
        <v>199</v>
      </c>
    </row>
    <row r="6" spans="1:10">
      <c r="A6" t="s">
        <v>182</v>
      </c>
      <c r="B6">
        <f>5.3/1000*365.26</f>
        <v>1.935878</v>
      </c>
      <c r="C6">
        <v>0.5</v>
      </c>
      <c r="D6" t="s">
        <v>194</v>
      </c>
    </row>
    <row r="7" spans="1:10">
      <c r="A7" t="s">
        <v>185</v>
      </c>
      <c r="D7" t="s">
        <v>194</v>
      </c>
    </row>
    <row r="8" spans="1:10">
      <c r="A8" t="s">
        <v>188</v>
      </c>
      <c r="D8" t="s">
        <v>194</v>
      </c>
    </row>
    <row r="9" spans="1:10">
      <c r="A9" t="s">
        <v>189</v>
      </c>
      <c r="B9">
        <v>0.75</v>
      </c>
      <c r="C9">
        <v>1</v>
      </c>
      <c r="D9" t="s">
        <v>195</v>
      </c>
      <c r="E9">
        <v>0.5</v>
      </c>
      <c r="F9">
        <v>50</v>
      </c>
      <c r="G9">
        <f>240/365.26</f>
        <v>0.65706619941959155</v>
      </c>
      <c r="H9">
        <f>I9/F9</f>
        <v>539.24108853967039</v>
      </c>
      <c r="I9">
        <f>$C$1*$C$2*B9/E9*G9</f>
        <v>26962.054426983519</v>
      </c>
      <c r="J9">
        <f>I9*E9/G9</f>
        <v>20517</v>
      </c>
    </row>
    <row r="10" spans="1:10">
      <c r="A10" t="s">
        <v>190</v>
      </c>
      <c r="B10">
        <v>0.25</v>
      </c>
      <c r="C10">
        <v>1</v>
      </c>
      <c r="D10" t="s">
        <v>194</v>
      </c>
      <c r="E10">
        <v>0.5</v>
      </c>
      <c r="F10">
        <v>50</v>
      </c>
      <c r="G10">
        <v>2</v>
      </c>
      <c r="H10">
        <f>I10/F10</f>
        <v>547.12</v>
      </c>
      <c r="I10">
        <f>$C$1*$C$2*B10/E10*G10</f>
        <v>27356</v>
      </c>
      <c r="J10">
        <f>I10*E10/G10</f>
        <v>6839</v>
      </c>
    </row>
    <row r="11" spans="1:10">
      <c r="A11" t="s">
        <v>191</v>
      </c>
      <c r="D11" t="s">
        <v>195</v>
      </c>
    </row>
    <row r="12" spans="1:10">
      <c r="A12" t="s">
        <v>192</v>
      </c>
      <c r="D12" t="s">
        <v>195</v>
      </c>
    </row>
  </sheetData>
  <pageMargins left="0.7" right="0.7" top="0.75" bottom="0.75" header="0.3" footer="0.3"/>
  <pageSetup orientation="portrait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29A52-A390-674C-882A-D9471157342F}">
  <dimension ref="A1:AE81"/>
  <sheetViews>
    <sheetView workbookViewId="0"/>
  </sheetViews>
  <sheetFormatPr baseColWidth="10" defaultRowHeight="16"/>
  <cols>
    <col min="2" max="3" width="15" customWidth="1"/>
    <col min="6" max="11" width="8.33203125" customWidth="1"/>
    <col min="14" max="15" width="11.6640625" bestFit="1" customWidth="1"/>
    <col min="16" max="22" width="12.6640625" bestFit="1" customWidth="1"/>
    <col min="23" max="31" width="11.6640625" bestFit="1" customWidth="1"/>
  </cols>
  <sheetData>
    <row r="1" spans="1:6">
      <c r="A1" t="s">
        <v>63</v>
      </c>
    </row>
    <row r="2" spans="1:6">
      <c r="A2" t="s">
        <v>76</v>
      </c>
      <c r="C2" s="3">
        <f>Vehicle!B30*0.000001*0.9</f>
        <v>53.367830177856604</v>
      </c>
      <c r="D2" t="s">
        <v>65</v>
      </c>
    </row>
    <row r="3" spans="1:6">
      <c r="A3" t="s">
        <v>123</v>
      </c>
      <c r="C3">
        <v>247.1</v>
      </c>
    </row>
    <row r="4" spans="1:6">
      <c r="A4" t="s">
        <v>124</v>
      </c>
      <c r="C4">
        <v>100</v>
      </c>
    </row>
    <row r="6" spans="1:6">
      <c r="A6" t="s">
        <v>77</v>
      </c>
      <c r="C6">
        <v>0</v>
      </c>
    </row>
    <row r="8" spans="1:6">
      <c r="A8" t="s">
        <v>213</v>
      </c>
      <c r="C8">
        <f>IF(C19&gt;10,C19*C9*365.26,0)</f>
        <v>2693427.2399999998</v>
      </c>
      <c r="E8">
        <f>C8/C19*1000/365.26</f>
        <v>12000</v>
      </c>
    </row>
    <row r="9" spans="1:6">
      <c r="A9" t="s">
        <v>214</v>
      </c>
      <c r="C9">
        <v>12</v>
      </c>
    </row>
    <row r="10" spans="1:6">
      <c r="A10" t="s">
        <v>64</v>
      </c>
      <c r="C10">
        <f>C18/C30</f>
        <v>14.875</v>
      </c>
      <c r="D10" t="s">
        <v>760</v>
      </c>
    </row>
    <row r="11" spans="1:6">
      <c r="A11" t="s">
        <v>64</v>
      </c>
      <c r="C11">
        <f>C10*Conversion!E17</f>
        <v>148750</v>
      </c>
      <c r="D11" t="s">
        <v>12</v>
      </c>
    </row>
    <row r="12" spans="1:6">
      <c r="A12" t="s">
        <v>761</v>
      </c>
      <c r="C12">
        <f>SUM(Crops!E:E)</f>
        <v>0.25</v>
      </c>
    </row>
    <row r="13" spans="1:6">
      <c r="E13" t="s">
        <v>179</v>
      </c>
    </row>
    <row r="14" spans="1:6">
      <c r="A14" s="7" t="s">
        <v>40</v>
      </c>
      <c r="C14" s="7">
        <f>C11/C4/C30</f>
        <v>37.1875</v>
      </c>
    </row>
    <row r="15" spans="1:6">
      <c r="A15" s="7" t="s">
        <v>35</v>
      </c>
      <c r="C15" s="7">
        <v>0.95</v>
      </c>
    </row>
    <row r="16" spans="1:6">
      <c r="A16" s="7" t="s">
        <v>90</v>
      </c>
      <c r="C16" s="7">
        <v>19</v>
      </c>
      <c r="D16">
        <f>(C16-1)/C16</f>
        <v>0.94736842105263153</v>
      </c>
      <c r="E16">
        <f>1/C16</f>
        <v>5.2631578947368418E-2</v>
      </c>
      <c r="F16" t="s">
        <v>78</v>
      </c>
    </row>
    <row r="17" spans="1:16">
      <c r="A17" s="7"/>
      <c r="D17" s="7"/>
      <c r="F17" t="s">
        <v>68</v>
      </c>
      <c r="G17" t="s">
        <v>91</v>
      </c>
      <c r="H17" t="s">
        <v>79</v>
      </c>
      <c r="I17" t="s">
        <v>70</v>
      </c>
      <c r="J17" t="s">
        <v>67</v>
      </c>
    </row>
    <row r="18" spans="1:16">
      <c r="A18" s="7" t="s">
        <v>87</v>
      </c>
      <c r="C18" s="7">
        <f>SUM(F18:J18)</f>
        <v>595</v>
      </c>
      <c r="D18" t="s">
        <v>99</v>
      </c>
      <c r="F18">
        <f>C6</f>
        <v>0</v>
      </c>
      <c r="G18">
        <f>E32</f>
        <v>194</v>
      </c>
      <c r="H18">
        <f>CEILING(MAX(C22+C21,E35)*D16,1)</f>
        <v>190</v>
      </c>
      <c r="I18">
        <f>CEILING((C22+C21)*E16,1)</f>
        <v>11</v>
      </c>
      <c r="J18">
        <f>C21+C22</f>
        <v>200</v>
      </c>
    </row>
    <row r="19" spans="1:16">
      <c r="A19" s="7"/>
      <c r="C19">
        <f>(F18*1.1+G18*1.1+H18*1.1+I18*1.1+J18*0.9)</f>
        <v>614.5</v>
      </c>
      <c r="D19" s="7" t="s">
        <v>130</v>
      </c>
    </row>
    <row r="20" spans="1:16">
      <c r="A20" s="7" t="s">
        <v>41</v>
      </c>
      <c r="E20" s="7">
        <f>FLOOR((C14-C6)*0.78,1)</f>
        <v>29</v>
      </c>
      <c r="F20">
        <f>F18</f>
        <v>0</v>
      </c>
      <c r="G20">
        <f>G18</f>
        <v>194</v>
      </c>
      <c r="H20">
        <f>H18</f>
        <v>190</v>
      </c>
      <c r="I20">
        <f>I18</f>
        <v>11</v>
      </c>
      <c r="J20">
        <f>C21+C22</f>
        <v>200</v>
      </c>
    </row>
    <row r="21" spans="1:16">
      <c r="A21" s="7" t="s">
        <v>95</v>
      </c>
      <c r="C21">
        <f>CEILING(F18/10+G18,1)</f>
        <v>194</v>
      </c>
    </row>
    <row r="22" spans="1:16">
      <c r="A22" s="7" t="s">
        <v>96</v>
      </c>
      <c r="C22">
        <f>CEILING(E35*20/19/10,1)</f>
        <v>6</v>
      </c>
    </row>
    <row r="23" spans="1:16">
      <c r="A23" s="7" t="s">
        <v>84</v>
      </c>
      <c r="C23">
        <v>0.2</v>
      </c>
    </row>
    <row r="24" spans="1:16">
      <c r="A24" s="7"/>
    </row>
    <row r="25" spans="1:16">
      <c r="A25" t="s">
        <v>26</v>
      </c>
      <c r="C25">
        <v>2</v>
      </c>
      <c r="D25" s="7">
        <f>(1/1000)*$C$25</f>
        <v>2E-3</v>
      </c>
      <c r="G25" s="7"/>
      <c r="H25" s="7"/>
      <c r="I25" s="7"/>
      <c r="J25" s="7"/>
      <c r="K25" s="7"/>
      <c r="L25" s="7"/>
      <c r="M25" s="7"/>
      <c r="N25" s="7"/>
    </row>
    <row r="26" spans="1:16">
      <c r="A26" t="s">
        <v>28</v>
      </c>
      <c r="C26">
        <f>MAX(B44:B58)</f>
        <v>389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>
      <c r="A27" t="s">
        <v>29</v>
      </c>
      <c r="C27">
        <f>MIN(B44:B58)</f>
        <v>190</v>
      </c>
      <c r="D27" s="7"/>
      <c r="E27" s="7"/>
      <c r="F27" s="7">
        <f>8*5</f>
        <v>40</v>
      </c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>
      <c r="A28" t="s">
        <v>30</v>
      </c>
      <c r="C28">
        <f>B75</f>
        <v>254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>
      <c r="A29" t="s">
        <v>93</v>
      </c>
      <c r="C29">
        <f>250*0.75</f>
        <v>187.5</v>
      </c>
      <c r="D29" s="7"/>
      <c r="E29" s="7"/>
      <c r="F29" s="7" t="s">
        <v>180</v>
      </c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>
      <c r="A30" t="s">
        <v>66</v>
      </c>
      <c r="C30">
        <v>40</v>
      </c>
      <c r="D30" t="s">
        <v>125</v>
      </c>
      <c r="E30" s="7"/>
      <c r="F30" s="7" t="s">
        <v>217</v>
      </c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>
      <c r="A31" t="s">
        <v>100</v>
      </c>
      <c r="C31">
        <v>25</v>
      </c>
      <c r="D31" s="7" t="s">
        <v>101</v>
      </c>
      <c r="E31" s="7"/>
      <c r="F31" s="7" t="s">
        <v>181</v>
      </c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>
      <c r="A32" t="s">
        <v>94</v>
      </c>
      <c r="C32">
        <f>Agriculture!D12</f>
        <v>18.18181818181818</v>
      </c>
      <c r="D32" s="7" t="s">
        <v>183</v>
      </c>
      <c r="E32" s="7">
        <f>CEILING((C32*C36)/C29,1)</f>
        <v>194</v>
      </c>
      <c r="F32" s="7" t="s">
        <v>99</v>
      </c>
      <c r="G32" s="7"/>
      <c r="I32" s="7"/>
      <c r="J32" s="7"/>
      <c r="K32" s="7"/>
      <c r="L32" s="7"/>
      <c r="M32" s="7"/>
      <c r="N32" s="7"/>
      <c r="O32" s="7"/>
      <c r="P32" s="7"/>
    </row>
    <row r="33" spans="1:31">
      <c r="C33" s="7">
        <f>C32*2.2</f>
        <v>40</v>
      </c>
      <c r="D33" s="7" t="s">
        <v>271</v>
      </c>
      <c r="E33" s="7"/>
      <c r="F33" s="7" t="s">
        <v>272</v>
      </c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31"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31">
      <c r="A35" t="s">
        <v>92</v>
      </c>
      <c r="C35">
        <v>250</v>
      </c>
      <c r="D35" s="7" t="s">
        <v>98</v>
      </c>
      <c r="E35" s="7">
        <f>CEILING((C36*C35)/(C31*365.26),1)</f>
        <v>55</v>
      </c>
      <c r="F35" s="7" t="s">
        <v>99</v>
      </c>
      <c r="G35" s="7" t="s">
        <v>97</v>
      </c>
      <c r="H35" s="7"/>
      <c r="I35" s="7"/>
      <c r="J35" s="7"/>
      <c r="K35" s="7"/>
      <c r="L35" s="7"/>
      <c r="M35" s="7"/>
      <c r="N35" s="7"/>
      <c r="O35" s="7"/>
      <c r="P35" s="7"/>
    </row>
    <row r="36" spans="1:31">
      <c r="A36" t="s">
        <v>102</v>
      </c>
      <c r="C36">
        <f>Vehicle!B1</f>
        <v>2000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31"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31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31">
      <c r="A39" t="s">
        <v>30</v>
      </c>
      <c r="C39" s="2"/>
      <c r="D39" s="7"/>
      <c r="E39" s="7" t="s">
        <v>33</v>
      </c>
      <c r="F39" s="7"/>
      <c r="G39" s="7"/>
      <c r="H39" s="7"/>
      <c r="I39" s="7"/>
      <c r="J39" s="7"/>
      <c r="K39" s="7"/>
      <c r="L39" s="7"/>
      <c r="M39" s="7">
        <f>1/15</f>
        <v>6.6666666666666666E-2</v>
      </c>
      <c r="N39" s="7"/>
      <c r="O39" s="7"/>
      <c r="P39" s="7"/>
    </row>
    <row r="40" spans="1:31">
      <c r="C40" s="2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31" ht="17" thickBot="1">
      <c r="A41" t="s">
        <v>828</v>
      </c>
      <c r="C41" s="2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31">
      <c r="A42" t="s">
        <v>72</v>
      </c>
      <c r="B42" t="s">
        <v>10</v>
      </c>
      <c r="C42" t="s">
        <v>79</v>
      </c>
      <c r="D42" t="s">
        <v>80</v>
      </c>
      <c r="E42" t="s">
        <v>81</v>
      </c>
      <c r="F42" t="s">
        <v>82</v>
      </c>
      <c r="G42" t="s">
        <v>83</v>
      </c>
      <c r="H42" t="s">
        <v>85</v>
      </c>
      <c r="I42" t="s">
        <v>86</v>
      </c>
      <c r="J42" t="s">
        <v>827</v>
      </c>
      <c r="K42" t="s">
        <v>89</v>
      </c>
      <c r="L42">
        <v>1</v>
      </c>
      <c r="M42">
        <v>2</v>
      </c>
      <c r="N42" s="33" t="s">
        <v>71</v>
      </c>
      <c r="O42" s="34"/>
      <c r="P42" s="34" t="s">
        <v>69</v>
      </c>
      <c r="Q42" s="34"/>
      <c r="R42" s="34"/>
      <c r="S42" s="34"/>
      <c r="T42" s="34"/>
      <c r="U42" s="34"/>
      <c r="V42" s="35"/>
      <c r="W42" s="26" t="s">
        <v>70</v>
      </c>
      <c r="X42" s="27"/>
      <c r="Y42" s="27"/>
      <c r="Z42" s="27"/>
      <c r="AA42" s="27"/>
      <c r="AB42" s="27"/>
      <c r="AC42" s="27"/>
      <c r="AD42" s="27"/>
      <c r="AE42" s="28"/>
    </row>
    <row r="43" spans="1:31" ht="17" thickBot="1">
      <c r="C43">
        <f>H18</f>
        <v>190</v>
      </c>
      <c r="D43">
        <v>0</v>
      </c>
      <c r="L43" t="s">
        <v>73</v>
      </c>
      <c r="M43" t="s">
        <v>91</v>
      </c>
      <c r="N43" s="36">
        <v>2</v>
      </c>
      <c r="O43" s="37">
        <v>3</v>
      </c>
      <c r="P43" s="37">
        <v>4</v>
      </c>
      <c r="Q43" s="37">
        <v>5</v>
      </c>
      <c r="R43" s="37">
        <v>6</v>
      </c>
      <c r="S43" s="37">
        <v>7</v>
      </c>
      <c r="T43" s="37">
        <v>8</v>
      </c>
      <c r="U43" s="37">
        <v>9</v>
      </c>
      <c r="V43" s="38">
        <v>10</v>
      </c>
      <c r="W43" s="29">
        <v>2</v>
      </c>
      <c r="X43" s="30">
        <v>3</v>
      </c>
      <c r="Y43" s="30">
        <v>4</v>
      </c>
      <c r="Z43" s="30">
        <v>5</v>
      </c>
      <c r="AA43" s="30">
        <v>6</v>
      </c>
      <c r="AB43" s="30">
        <v>7</v>
      </c>
      <c r="AC43" s="30">
        <v>8</v>
      </c>
      <c r="AD43" s="30">
        <v>9</v>
      </c>
      <c r="AE43" s="31">
        <v>10</v>
      </c>
    </row>
    <row r="44" spans="1:31">
      <c r="A44">
        <v>0</v>
      </c>
      <c r="B44">
        <f t="shared" ref="B44:B80" si="0">FLOOR(SUM(M44:AE44),1)</f>
        <v>190</v>
      </c>
      <c r="C44">
        <f t="shared" ref="C44:C80" si="1">FLOOR(SUM(P44:V44),1)</f>
        <v>95</v>
      </c>
      <c r="D44">
        <f>FLOOR(SUM(W44:AE44),1)</f>
        <v>0</v>
      </c>
      <c r="E44">
        <f>0</f>
        <v>0</v>
      </c>
      <c r="F44">
        <f>IF(E43&gt;$C$16*1.1,1,0.5)</f>
        <v>0.5</v>
      </c>
      <c r="G44">
        <f t="shared" ref="G44:G80" si="2">IF(C43&lt;=$H$18,1,0.75)</f>
        <v>1</v>
      </c>
      <c r="L44" s="4">
        <f>C43/2</f>
        <v>95</v>
      </c>
      <c r="M44">
        <v>0</v>
      </c>
      <c r="N44" s="4">
        <f>$C$43/4</f>
        <v>47.5</v>
      </c>
      <c r="O44" s="4">
        <f t="shared" ref="O44:Q44" si="3">$C$43/4</f>
        <v>47.5</v>
      </c>
      <c r="P44" s="4">
        <f t="shared" si="3"/>
        <v>47.5</v>
      </c>
      <c r="Q44" s="4">
        <f t="shared" si="3"/>
        <v>47.5</v>
      </c>
      <c r="R44" s="4">
        <v>0</v>
      </c>
      <c r="S44" s="4">
        <v>0</v>
      </c>
      <c r="T44" s="4"/>
      <c r="U44" s="4"/>
      <c r="V44" s="4"/>
      <c r="W44" s="4">
        <v>0</v>
      </c>
      <c r="X44" s="4">
        <v>0</v>
      </c>
      <c r="Y44" s="4"/>
      <c r="Z44" s="4"/>
      <c r="AA44" s="4"/>
      <c r="AB44" s="4"/>
      <c r="AC44" s="4"/>
      <c r="AD44" s="4">
        <v>0</v>
      </c>
      <c r="AE44" s="4">
        <v>0</v>
      </c>
    </row>
    <row r="45" spans="1:31">
      <c r="A45">
        <v>1</v>
      </c>
      <c r="B45">
        <f t="shared" si="0"/>
        <v>275</v>
      </c>
      <c r="C45">
        <f t="shared" si="1"/>
        <v>135</v>
      </c>
      <c r="D45">
        <f t="shared" ref="D45:D80" si="4">FLOOR(SUM(W45:AE45),1)</f>
        <v>4</v>
      </c>
      <c r="E45">
        <f>IF(D45&gt;0,C45/D45,0)</f>
        <v>33.75</v>
      </c>
      <c r="F45">
        <f>IF(E44&gt;$C$16*1.1,1,0.5)</f>
        <v>0.5</v>
      </c>
      <c r="G45">
        <f t="shared" si="2"/>
        <v>1</v>
      </c>
      <c r="H45" s="4">
        <f>SUM(N44:AE44)-SUM(O45:V45)-SUM(X45:AE45)</f>
        <v>9.5</v>
      </c>
      <c r="I45">
        <f>IF(H45&gt;0,H45,0)+M45</f>
        <v>79.5</v>
      </c>
      <c r="J45">
        <f t="shared" ref="J45:J80" si="5">I45*$C$32</f>
        <v>1445.4545454545453</v>
      </c>
      <c r="K45">
        <f>C45*87</f>
        <v>11745</v>
      </c>
      <c r="L45">
        <f t="shared" ref="L45:L80" si="6">IF(C44&gt;($C$21+$C$22),$C$21+$C$22,C44)</f>
        <v>95</v>
      </c>
      <c r="M45">
        <f>IF(L44&gt;$G$18,$G$18,L44-N45-W45)</f>
        <v>70</v>
      </c>
      <c r="N45" s="4">
        <f t="shared" ref="N45:N80" si="7">$H$18/10+IF(C44&lt;$H$18,2,0)</f>
        <v>21</v>
      </c>
      <c r="O45" s="4">
        <f>N44*$C$15</f>
        <v>45.125</v>
      </c>
      <c r="P45" s="4">
        <f>O44*$C$15</f>
        <v>45.125</v>
      </c>
      <c r="Q45" s="4">
        <f>P44*$C$15</f>
        <v>45.125</v>
      </c>
      <c r="R45" s="4">
        <f>Q44*$C$15</f>
        <v>45.125</v>
      </c>
      <c r="S45" s="4">
        <f>R44*$C$15*$G45</f>
        <v>0</v>
      </c>
      <c r="T45" s="4">
        <f t="shared" ref="T45:V60" si="8">S44*$C$15*$G45</f>
        <v>0</v>
      </c>
      <c r="U45" s="4">
        <f t="shared" si="8"/>
        <v>0</v>
      </c>
      <c r="V45" s="4">
        <f t="shared" si="8"/>
        <v>0</v>
      </c>
      <c r="W45" s="4">
        <f t="shared" ref="W45:W80" si="9">IF(D44&lt;$I$18,4,0)</f>
        <v>4</v>
      </c>
      <c r="X45" s="4">
        <f>W44*$C$15</f>
        <v>0</v>
      </c>
      <c r="Y45" s="4">
        <f t="shared" ref="Y45:AE45" si="10">X44*$C$15*$F44</f>
        <v>0</v>
      </c>
      <c r="Z45" s="4">
        <f t="shared" si="10"/>
        <v>0</v>
      </c>
      <c r="AA45" s="4">
        <f t="shared" si="10"/>
        <v>0</v>
      </c>
      <c r="AB45" s="4">
        <f t="shared" si="10"/>
        <v>0</v>
      </c>
      <c r="AC45" s="4">
        <f t="shared" si="10"/>
        <v>0</v>
      </c>
      <c r="AD45" s="4">
        <f t="shared" si="10"/>
        <v>0</v>
      </c>
      <c r="AE45" s="4">
        <f t="shared" si="10"/>
        <v>0</v>
      </c>
    </row>
    <row r="46" spans="1:31">
      <c r="A46">
        <f>A45+1</f>
        <v>2</v>
      </c>
      <c r="B46">
        <f t="shared" si="0"/>
        <v>290</v>
      </c>
      <c r="C46">
        <f t="shared" si="1"/>
        <v>171</v>
      </c>
      <c r="D46">
        <f t="shared" si="4"/>
        <v>7</v>
      </c>
      <c r="E46">
        <f t="shared" ref="E46:E81" si="11">IF(D46&gt;0,C46/D46,0)</f>
        <v>24.428571428571427</v>
      </c>
      <c r="F46">
        <f>IF(E45&gt;$C$16*1.5,1,0.5)</f>
        <v>1</v>
      </c>
      <c r="G46">
        <f t="shared" si="2"/>
        <v>1</v>
      </c>
      <c r="H46" s="4">
        <f t="shared" ref="H46:H80" si="12">SUM(N45:AE45)-SUM(O46:V46)-SUM(X46:AE46)</f>
        <v>10.274999999999988</v>
      </c>
      <c r="I46">
        <f t="shared" ref="I46:I75" si="13">IF(H46&gt;0,H46,0)+M46</f>
        <v>80.274999999999991</v>
      </c>
      <c r="J46">
        <f t="shared" si="5"/>
        <v>1459.5454545454543</v>
      </c>
      <c r="K46">
        <f t="shared" ref="K46:K80" si="14">C46*87*365.25</f>
        <v>5433824.25</v>
      </c>
      <c r="L46">
        <f t="shared" si="6"/>
        <v>135</v>
      </c>
      <c r="M46">
        <f t="shared" ref="M46:M80" si="15">IF(L45&gt;$G$18,$G$18,L45-N46-W46)</f>
        <v>70</v>
      </c>
      <c r="N46" s="4">
        <f t="shared" si="7"/>
        <v>21</v>
      </c>
      <c r="O46" s="4">
        <f t="shared" ref="O46:R80" si="16">N45*$C$15</f>
        <v>19.95</v>
      </c>
      <c r="P46" s="4">
        <f t="shared" si="16"/>
        <v>42.868749999999999</v>
      </c>
      <c r="Q46" s="4">
        <f t="shared" si="16"/>
        <v>42.868749999999999</v>
      </c>
      <c r="R46" s="4">
        <f t="shared" si="16"/>
        <v>42.868749999999999</v>
      </c>
      <c r="S46" s="4">
        <f t="shared" ref="S46:V80" si="17">R45*$C$15*$G46</f>
        <v>42.868749999999999</v>
      </c>
      <c r="T46" s="4">
        <f t="shared" si="8"/>
        <v>0</v>
      </c>
      <c r="U46" s="4">
        <f t="shared" si="8"/>
        <v>0</v>
      </c>
      <c r="V46" s="4">
        <f t="shared" si="8"/>
        <v>0</v>
      </c>
      <c r="W46" s="4">
        <f t="shared" si="9"/>
        <v>4</v>
      </c>
      <c r="X46" s="4">
        <f t="shared" ref="X46:X80" si="18">W45*$C$15</f>
        <v>3.8</v>
      </c>
      <c r="Y46" s="4">
        <f>X45*$C$15*$F45</f>
        <v>0</v>
      </c>
      <c r="Z46" s="4">
        <f>Y45*$C$15*$F45</f>
        <v>0</v>
      </c>
      <c r="AA46" s="4">
        <f t="shared" ref="AA46:AA80" si="19">Z45*$C$15*$F45</f>
        <v>0</v>
      </c>
      <c r="AB46" s="4">
        <f t="shared" ref="AB46:AB80" si="20">AA45*$C$15*$F45</f>
        <v>0</v>
      </c>
      <c r="AC46" s="4">
        <f t="shared" ref="AC46:AC80" si="21">AB45*$C$15*$F45</f>
        <v>0</v>
      </c>
      <c r="AD46" s="4">
        <f t="shared" ref="AD46:AD80" si="22">AC45*$C$15*$F45</f>
        <v>0</v>
      </c>
      <c r="AE46" s="4">
        <f t="shared" ref="AE46:AE80" si="23">AD45*$C$15*$F45</f>
        <v>0</v>
      </c>
    </row>
    <row r="47" spans="1:31">
      <c r="A47">
        <f t="shared" ref="A47:A49" si="24">A46+1</f>
        <v>3</v>
      </c>
      <c r="B47">
        <f t="shared" si="0"/>
        <v>344</v>
      </c>
      <c r="C47">
        <f t="shared" si="1"/>
        <v>181</v>
      </c>
      <c r="D47">
        <f t="shared" si="4"/>
        <v>11</v>
      </c>
      <c r="E47">
        <f t="shared" si="11"/>
        <v>16.454545454545453</v>
      </c>
      <c r="F47">
        <f t="shared" ref="F47:F80" si="25">IF(E46&gt;$C$16*1.5,1,0.5)</f>
        <v>0.5</v>
      </c>
      <c r="G47">
        <f t="shared" si="2"/>
        <v>1</v>
      </c>
      <c r="H47" s="4">
        <f t="shared" si="12"/>
        <v>11.011250000000043</v>
      </c>
      <c r="I47">
        <f t="shared" si="13"/>
        <v>121.01125000000005</v>
      </c>
      <c r="J47">
        <f t="shared" si="5"/>
        <v>2200.204545454546</v>
      </c>
      <c r="K47">
        <f t="shared" si="14"/>
        <v>5751591.75</v>
      </c>
      <c r="L47">
        <f t="shared" si="6"/>
        <v>171</v>
      </c>
      <c r="M47">
        <f t="shared" si="15"/>
        <v>110</v>
      </c>
      <c r="N47" s="4">
        <f t="shared" si="7"/>
        <v>21</v>
      </c>
      <c r="O47" s="4">
        <f t="shared" si="16"/>
        <v>19.95</v>
      </c>
      <c r="P47" s="4">
        <f t="shared" si="16"/>
        <v>18.952499999999997</v>
      </c>
      <c r="Q47" s="4">
        <f t="shared" si="16"/>
        <v>40.725312499999994</v>
      </c>
      <c r="R47" s="4">
        <f t="shared" si="16"/>
        <v>40.725312499999994</v>
      </c>
      <c r="S47" s="4">
        <f t="shared" si="17"/>
        <v>40.725312499999994</v>
      </c>
      <c r="T47" s="4">
        <f t="shared" si="8"/>
        <v>40.725312499999994</v>
      </c>
      <c r="U47" s="4">
        <f t="shared" si="8"/>
        <v>0</v>
      </c>
      <c r="V47" s="4">
        <f t="shared" si="8"/>
        <v>0</v>
      </c>
      <c r="W47" s="4">
        <f t="shared" si="9"/>
        <v>4</v>
      </c>
      <c r="X47" s="4">
        <f t="shared" si="18"/>
        <v>3.8</v>
      </c>
      <c r="Y47" s="4">
        <f>X46*$C$15*$F46</f>
        <v>3.61</v>
      </c>
      <c r="Z47" s="4">
        <f t="shared" ref="Z47:Z80" si="26">Y46*$C$15*$F46</f>
        <v>0</v>
      </c>
      <c r="AA47" s="4">
        <f t="shared" si="19"/>
        <v>0</v>
      </c>
      <c r="AB47" s="4">
        <f t="shared" si="20"/>
        <v>0</v>
      </c>
      <c r="AC47" s="4">
        <f t="shared" si="21"/>
        <v>0</v>
      </c>
      <c r="AD47" s="4">
        <f t="shared" si="22"/>
        <v>0</v>
      </c>
      <c r="AE47" s="4">
        <f t="shared" si="23"/>
        <v>0</v>
      </c>
    </row>
    <row r="48" spans="1:31">
      <c r="A48">
        <f t="shared" si="24"/>
        <v>4</v>
      </c>
      <c r="B48">
        <f t="shared" si="0"/>
        <v>389</v>
      </c>
      <c r="C48">
        <f t="shared" si="1"/>
        <v>191</v>
      </c>
      <c r="D48">
        <f t="shared" si="4"/>
        <v>7</v>
      </c>
      <c r="E48">
        <f t="shared" si="11"/>
        <v>27.285714285714285</v>
      </c>
      <c r="F48">
        <f t="shared" si="25"/>
        <v>0.5</v>
      </c>
      <c r="G48">
        <f t="shared" si="2"/>
        <v>1</v>
      </c>
      <c r="H48" s="4">
        <f t="shared" si="12"/>
        <v>15.23043750000005</v>
      </c>
      <c r="I48">
        <f t="shared" si="13"/>
        <v>165.23043750000005</v>
      </c>
      <c r="J48">
        <f t="shared" si="5"/>
        <v>3004.1897727272735</v>
      </c>
      <c r="K48">
        <f t="shared" si="14"/>
        <v>6069359.25</v>
      </c>
      <c r="L48">
        <f t="shared" si="6"/>
        <v>181</v>
      </c>
      <c r="M48">
        <f t="shared" si="15"/>
        <v>150</v>
      </c>
      <c r="N48" s="4">
        <f t="shared" si="7"/>
        <v>21</v>
      </c>
      <c r="O48" s="4">
        <f t="shared" si="16"/>
        <v>19.95</v>
      </c>
      <c r="P48" s="4">
        <f t="shared" si="16"/>
        <v>18.952499999999997</v>
      </c>
      <c r="Q48" s="4">
        <f t="shared" si="16"/>
        <v>18.004874999999995</v>
      </c>
      <c r="R48" s="4">
        <f t="shared" si="16"/>
        <v>38.689046874999995</v>
      </c>
      <c r="S48" s="4">
        <f t="shared" si="17"/>
        <v>38.689046874999995</v>
      </c>
      <c r="T48" s="4">
        <f t="shared" si="8"/>
        <v>38.689046874999995</v>
      </c>
      <c r="U48" s="4">
        <f t="shared" si="8"/>
        <v>38.689046874999995</v>
      </c>
      <c r="V48" s="4">
        <f t="shared" si="8"/>
        <v>0</v>
      </c>
      <c r="W48" s="4">
        <f t="shared" si="9"/>
        <v>0</v>
      </c>
      <c r="X48" s="4">
        <f t="shared" si="18"/>
        <v>3.8</v>
      </c>
      <c r="Y48" s="4">
        <f t="shared" ref="Y48:Y80" si="27">X47*$C$15*$F47</f>
        <v>1.8049999999999999</v>
      </c>
      <c r="Z48" s="4">
        <f t="shared" si="26"/>
        <v>1.7147499999999998</v>
      </c>
      <c r="AA48" s="4">
        <f t="shared" si="19"/>
        <v>0</v>
      </c>
      <c r="AB48" s="4">
        <f t="shared" si="20"/>
        <v>0</v>
      </c>
      <c r="AC48" s="4">
        <f t="shared" si="21"/>
        <v>0</v>
      </c>
      <c r="AD48" s="4">
        <f t="shared" si="22"/>
        <v>0</v>
      </c>
      <c r="AE48" s="4">
        <f t="shared" si="23"/>
        <v>0</v>
      </c>
    </row>
    <row r="49" spans="1:31">
      <c r="A49">
        <f t="shared" si="24"/>
        <v>5</v>
      </c>
      <c r="B49">
        <f t="shared" si="0"/>
        <v>368</v>
      </c>
      <c r="C49">
        <f t="shared" si="1"/>
        <v>164</v>
      </c>
      <c r="D49">
        <f t="shared" si="4"/>
        <v>7</v>
      </c>
      <c r="E49">
        <f t="shared" si="11"/>
        <v>23.428571428571427</v>
      </c>
      <c r="F49">
        <f t="shared" si="25"/>
        <v>0.5</v>
      </c>
      <c r="G49">
        <f t="shared" si="2"/>
        <v>0.75</v>
      </c>
      <c r="H49" s="4">
        <f t="shared" si="12"/>
        <v>52.230641406250093</v>
      </c>
      <c r="I49">
        <f t="shared" si="13"/>
        <v>210.2306414062501</v>
      </c>
      <c r="J49">
        <f t="shared" si="5"/>
        <v>3822.3752982954561</v>
      </c>
      <c r="K49">
        <f t="shared" si="14"/>
        <v>5211387</v>
      </c>
      <c r="L49">
        <f t="shared" si="6"/>
        <v>191</v>
      </c>
      <c r="M49">
        <f t="shared" si="15"/>
        <v>158</v>
      </c>
      <c r="N49" s="4">
        <f t="shared" si="7"/>
        <v>19</v>
      </c>
      <c r="O49" s="4">
        <f t="shared" si="16"/>
        <v>19.95</v>
      </c>
      <c r="P49" s="4">
        <f t="shared" si="16"/>
        <v>18.952499999999997</v>
      </c>
      <c r="Q49" s="4">
        <f t="shared" si="16"/>
        <v>18.004874999999995</v>
      </c>
      <c r="R49" s="4">
        <f t="shared" si="16"/>
        <v>17.104631249999994</v>
      </c>
      <c r="S49" s="4">
        <f t="shared" si="17"/>
        <v>27.565945898437494</v>
      </c>
      <c r="T49" s="4">
        <f t="shared" si="8"/>
        <v>27.565945898437494</v>
      </c>
      <c r="U49" s="4">
        <f t="shared" si="8"/>
        <v>27.565945898437494</v>
      </c>
      <c r="V49" s="4">
        <f t="shared" si="8"/>
        <v>27.565945898437494</v>
      </c>
      <c r="W49" s="4">
        <f t="shared" si="9"/>
        <v>4</v>
      </c>
      <c r="X49" s="4">
        <f t="shared" si="18"/>
        <v>0</v>
      </c>
      <c r="Y49" s="4">
        <f t="shared" si="27"/>
        <v>1.8049999999999999</v>
      </c>
      <c r="Z49" s="4">
        <f t="shared" si="26"/>
        <v>0.85737499999999989</v>
      </c>
      <c r="AA49" s="4">
        <f t="shared" si="19"/>
        <v>0.81450624999999988</v>
      </c>
      <c r="AB49" s="4">
        <f t="shared" si="20"/>
        <v>0</v>
      </c>
      <c r="AC49" s="4">
        <f t="shared" si="21"/>
        <v>0</v>
      </c>
      <c r="AD49" s="4">
        <f t="shared" si="22"/>
        <v>0</v>
      </c>
      <c r="AE49" s="4">
        <f t="shared" si="23"/>
        <v>0</v>
      </c>
    </row>
    <row r="50" spans="1:31">
      <c r="A50">
        <f t="shared" ref="A50:A58" si="28">A49+1</f>
        <v>6</v>
      </c>
      <c r="B50">
        <f t="shared" si="0"/>
        <v>363</v>
      </c>
      <c r="C50">
        <f t="shared" si="1"/>
        <v>148</v>
      </c>
      <c r="D50">
        <f t="shared" si="4"/>
        <v>9</v>
      </c>
      <c r="E50">
        <f t="shared" si="11"/>
        <v>16.444444444444443</v>
      </c>
      <c r="F50">
        <f t="shared" si="25"/>
        <v>0.5</v>
      </c>
      <c r="G50">
        <f t="shared" si="2"/>
        <v>1</v>
      </c>
      <c r="H50" s="4">
        <f t="shared" si="12"/>
        <v>38.376800751953134</v>
      </c>
      <c r="I50">
        <f t="shared" si="13"/>
        <v>204.37680075195314</v>
      </c>
      <c r="J50">
        <f t="shared" si="5"/>
        <v>3715.9418318536932</v>
      </c>
      <c r="K50">
        <f t="shared" si="14"/>
        <v>4702959</v>
      </c>
      <c r="L50">
        <f t="shared" si="6"/>
        <v>164</v>
      </c>
      <c r="M50">
        <f t="shared" si="15"/>
        <v>166</v>
      </c>
      <c r="N50" s="4">
        <f t="shared" si="7"/>
        <v>21</v>
      </c>
      <c r="O50" s="4">
        <f t="shared" si="16"/>
        <v>18.05</v>
      </c>
      <c r="P50" s="4">
        <f t="shared" si="16"/>
        <v>18.952499999999997</v>
      </c>
      <c r="Q50" s="4">
        <f t="shared" si="16"/>
        <v>18.004874999999995</v>
      </c>
      <c r="R50" s="4">
        <f t="shared" si="16"/>
        <v>17.104631249999994</v>
      </c>
      <c r="S50" s="4">
        <f t="shared" si="17"/>
        <v>16.249399687499992</v>
      </c>
      <c r="T50" s="4">
        <f t="shared" si="8"/>
        <v>26.187648603515619</v>
      </c>
      <c r="U50" s="4">
        <f t="shared" si="8"/>
        <v>26.187648603515619</v>
      </c>
      <c r="V50" s="4">
        <f t="shared" si="8"/>
        <v>26.187648603515619</v>
      </c>
      <c r="W50" s="4">
        <f t="shared" si="9"/>
        <v>4</v>
      </c>
      <c r="X50" s="4">
        <f t="shared" si="18"/>
        <v>3.8</v>
      </c>
      <c r="Y50" s="4">
        <f t="shared" si="27"/>
        <v>0</v>
      </c>
      <c r="Z50" s="4">
        <f t="shared" si="26"/>
        <v>0.85737499999999989</v>
      </c>
      <c r="AA50" s="4">
        <f t="shared" si="19"/>
        <v>0.40725312499999994</v>
      </c>
      <c r="AB50" s="4">
        <f t="shared" si="20"/>
        <v>0.38689046874999994</v>
      </c>
      <c r="AC50" s="4">
        <f t="shared" si="21"/>
        <v>0</v>
      </c>
      <c r="AD50" s="4">
        <f t="shared" si="22"/>
        <v>0</v>
      </c>
      <c r="AE50" s="4">
        <f t="shared" si="23"/>
        <v>0</v>
      </c>
    </row>
    <row r="51" spans="1:31">
      <c r="A51">
        <f t="shared" si="28"/>
        <v>7</v>
      </c>
      <c r="B51">
        <f t="shared" si="0"/>
        <v>324</v>
      </c>
      <c r="C51">
        <f t="shared" si="1"/>
        <v>133</v>
      </c>
      <c r="D51">
        <f t="shared" si="4"/>
        <v>10</v>
      </c>
      <c r="E51">
        <f t="shared" si="11"/>
        <v>13.3</v>
      </c>
      <c r="F51">
        <f t="shared" si="25"/>
        <v>0.5</v>
      </c>
      <c r="G51">
        <f t="shared" si="2"/>
        <v>1</v>
      </c>
      <c r="H51" s="4">
        <f t="shared" si="12"/>
        <v>37.336531022460932</v>
      </c>
      <c r="I51">
        <f t="shared" si="13"/>
        <v>176.33653102246092</v>
      </c>
      <c r="J51">
        <f t="shared" si="5"/>
        <v>3206.1187458629256</v>
      </c>
      <c r="K51">
        <f t="shared" si="14"/>
        <v>4226307.75</v>
      </c>
      <c r="L51">
        <f t="shared" si="6"/>
        <v>148</v>
      </c>
      <c r="M51">
        <f t="shared" si="15"/>
        <v>139</v>
      </c>
      <c r="N51" s="4">
        <f t="shared" si="7"/>
        <v>21</v>
      </c>
      <c r="O51" s="4">
        <f t="shared" si="16"/>
        <v>19.95</v>
      </c>
      <c r="P51" s="4">
        <f t="shared" si="16"/>
        <v>17.147500000000001</v>
      </c>
      <c r="Q51" s="4">
        <f t="shared" si="16"/>
        <v>18.004874999999995</v>
      </c>
      <c r="R51" s="4">
        <f t="shared" si="16"/>
        <v>17.104631249999994</v>
      </c>
      <c r="S51" s="4">
        <f t="shared" si="17"/>
        <v>16.249399687499992</v>
      </c>
      <c r="T51" s="4">
        <f t="shared" si="8"/>
        <v>15.43692970312499</v>
      </c>
      <c r="U51" s="4">
        <f t="shared" si="8"/>
        <v>24.878266173339838</v>
      </c>
      <c r="V51" s="4">
        <f t="shared" si="8"/>
        <v>24.878266173339838</v>
      </c>
      <c r="W51" s="4">
        <f t="shared" si="9"/>
        <v>4</v>
      </c>
      <c r="X51" s="4">
        <f t="shared" si="18"/>
        <v>3.8</v>
      </c>
      <c r="Y51" s="4">
        <f t="shared" si="27"/>
        <v>1.8049999999999999</v>
      </c>
      <c r="Z51" s="4">
        <f t="shared" si="26"/>
        <v>0</v>
      </c>
      <c r="AA51" s="4">
        <f t="shared" si="19"/>
        <v>0.40725312499999994</v>
      </c>
      <c r="AB51" s="4">
        <f t="shared" si="20"/>
        <v>0.19344523437499997</v>
      </c>
      <c r="AC51" s="4">
        <f t="shared" si="21"/>
        <v>0.18377297265624995</v>
      </c>
      <c r="AD51" s="4">
        <f t="shared" si="22"/>
        <v>0</v>
      </c>
      <c r="AE51" s="4">
        <f t="shared" si="23"/>
        <v>0</v>
      </c>
    </row>
    <row r="52" spans="1:31">
      <c r="A52">
        <f t="shared" si="28"/>
        <v>8</v>
      </c>
      <c r="B52">
        <f t="shared" si="0"/>
        <v>297</v>
      </c>
      <c r="C52">
        <f t="shared" si="1"/>
        <v>122</v>
      </c>
      <c r="D52">
        <f t="shared" si="4"/>
        <v>10</v>
      </c>
      <c r="E52">
        <f t="shared" si="11"/>
        <v>12.2</v>
      </c>
      <c r="F52">
        <f t="shared" si="25"/>
        <v>0.5</v>
      </c>
      <c r="G52">
        <f t="shared" si="2"/>
        <v>1</v>
      </c>
      <c r="H52" s="4">
        <f t="shared" si="12"/>
        <v>35.921318713354538</v>
      </c>
      <c r="I52">
        <f t="shared" si="13"/>
        <v>158.92131871335454</v>
      </c>
      <c r="J52">
        <f t="shared" si="5"/>
        <v>2889.4785220609915</v>
      </c>
      <c r="K52">
        <f t="shared" si="14"/>
        <v>3876763.5</v>
      </c>
      <c r="L52">
        <f t="shared" si="6"/>
        <v>133</v>
      </c>
      <c r="M52">
        <f t="shared" si="15"/>
        <v>123</v>
      </c>
      <c r="N52" s="4">
        <f t="shared" si="7"/>
        <v>21</v>
      </c>
      <c r="O52" s="4">
        <f t="shared" si="16"/>
        <v>19.95</v>
      </c>
      <c r="P52" s="4">
        <f t="shared" si="16"/>
        <v>18.952499999999997</v>
      </c>
      <c r="Q52" s="4">
        <f t="shared" si="16"/>
        <v>16.290125</v>
      </c>
      <c r="R52" s="4">
        <f t="shared" si="16"/>
        <v>17.104631249999994</v>
      </c>
      <c r="S52" s="4">
        <f t="shared" si="17"/>
        <v>16.249399687499992</v>
      </c>
      <c r="T52" s="4">
        <f t="shared" si="8"/>
        <v>15.43692970312499</v>
      </c>
      <c r="U52" s="4">
        <f t="shared" si="8"/>
        <v>14.665083217968741</v>
      </c>
      <c r="V52" s="4">
        <f t="shared" si="8"/>
        <v>23.634352864672845</v>
      </c>
      <c r="W52" s="4">
        <f t="shared" si="9"/>
        <v>4</v>
      </c>
      <c r="X52" s="4">
        <f t="shared" si="18"/>
        <v>3.8</v>
      </c>
      <c r="Y52" s="4">
        <f t="shared" si="27"/>
        <v>1.8049999999999999</v>
      </c>
      <c r="Z52" s="4">
        <f t="shared" si="26"/>
        <v>0.85737499999999989</v>
      </c>
      <c r="AA52" s="4">
        <f t="shared" si="19"/>
        <v>0</v>
      </c>
      <c r="AB52" s="4">
        <f t="shared" si="20"/>
        <v>0.19344523437499997</v>
      </c>
      <c r="AC52" s="4">
        <f t="shared" si="21"/>
        <v>9.1886486328124975E-2</v>
      </c>
      <c r="AD52" s="4">
        <f t="shared" si="22"/>
        <v>8.7292162011718716E-2</v>
      </c>
      <c r="AE52" s="4">
        <f t="shared" si="23"/>
        <v>0</v>
      </c>
    </row>
    <row r="53" spans="1:31">
      <c r="A53">
        <f t="shared" si="28"/>
        <v>9</v>
      </c>
      <c r="B53">
        <f t="shared" si="0"/>
        <v>272</v>
      </c>
      <c r="C53">
        <f t="shared" si="1"/>
        <v>112</v>
      </c>
      <c r="D53">
        <f t="shared" si="4"/>
        <v>11</v>
      </c>
      <c r="E53">
        <f t="shared" si="11"/>
        <v>10.181818181818182</v>
      </c>
      <c r="F53">
        <f t="shared" si="25"/>
        <v>0.5</v>
      </c>
      <c r="G53">
        <f t="shared" si="2"/>
        <v>1</v>
      </c>
      <c r="H53" s="4">
        <f t="shared" si="12"/>
        <v>34.405160721027841</v>
      </c>
      <c r="I53">
        <f t="shared" si="13"/>
        <v>142.40516072102784</v>
      </c>
      <c r="J53">
        <f t="shared" si="5"/>
        <v>2589.184740382324</v>
      </c>
      <c r="K53">
        <f t="shared" si="14"/>
        <v>3558996</v>
      </c>
      <c r="L53">
        <f t="shared" si="6"/>
        <v>122</v>
      </c>
      <c r="M53">
        <f t="shared" si="15"/>
        <v>108</v>
      </c>
      <c r="N53" s="4">
        <f t="shared" si="7"/>
        <v>21</v>
      </c>
      <c r="O53" s="4">
        <f t="shared" si="16"/>
        <v>19.95</v>
      </c>
      <c r="P53" s="4">
        <f t="shared" si="16"/>
        <v>18.952499999999997</v>
      </c>
      <c r="Q53" s="4">
        <f t="shared" si="16"/>
        <v>18.004874999999995</v>
      </c>
      <c r="R53" s="4">
        <f t="shared" si="16"/>
        <v>15.475618749999999</v>
      </c>
      <c r="S53" s="4">
        <f t="shared" si="17"/>
        <v>16.249399687499992</v>
      </c>
      <c r="T53" s="4">
        <f t="shared" si="8"/>
        <v>15.43692970312499</v>
      </c>
      <c r="U53" s="4">
        <f t="shared" si="8"/>
        <v>14.665083217968741</v>
      </c>
      <c r="V53" s="4">
        <f t="shared" si="8"/>
        <v>13.931829057070303</v>
      </c>
      <c r="W53" s="4">
        <f t="shared" si="9"/>
        <v>4</v>
      </c>
      <c r="X53" s="4">
        <f t="shared" si="18"/>
        <v>3.8</v>
      </c>
      <c r="Y53" s="4">
        <f t="shared" si="27"/>
        <v>1.8049999999999999</v>
      </c>
      <c r="Z53" s="4">
        <f t="shared" si="26"/>
        <v>0.85737499999999989</v>
      </c>
      <c r="AA53" s="4">
        <f t="shared" si="19"/>
        <v>0.40725312499999994</v>
      </c>
      <c r="AB53" s="4">
        <f t="shared" si="20"/>
        <v>0</v>
      </c>
      <c r="AC53" s="4">
        <f t="shared" si="21"/>
        <v>9.1886486328124975E-2</v>
      </c>
      <c r="AD53" s="4">
        <f t="shared" si="22"/>
        <v>4.3646081005859358E-2</v>
      </c>
      <c r="AE53" s="4">
        <f t="shared" si="23"/>
        <v>4.1463776955566391E-2</v>
      </c>
    </row>
    <row r="54" spans="1:31">
      <c r="A54">
        <f t="shared" si="28"/>
        <v>10</v>
      </c>
      <c r="B54">
        <f t="shared" si="0"/>
        <v>261</v>
      </c>
      <c r="C54">
        <f t="shared" si="1"/>
        <v>112</v>
      </c>
      <c r="D54">
        <f t="shared" si="4"/>
        <v>7</v>
      </c>
      <c r="E54">
        <f t="shared" si="11"/>
        <v>16</v>
      </c>
      <c r="F54">
        <f t="shared" si="25"/>
        <v>0.5</v>
      </c>
      <c r="G54">
        <f t="shared" si="2"/>
        <v>1</v>
      </c>
      <c r="H54" s="4">
        <f t="shared" si="12"/>
        <v>24.837722515430912</v>
      </c>
      <c r="I54">
        <f t="shared" si="13"/>
        <v>125.83772251543091</v>
      </c>
      <c r="J54">
        <f t="shared" si="5"/>
        <v>2287.9585911896529</v>
      </c>
      <c r="K54">
        <f t="shared" si="14"/>
        <v>3558996</v>
      </c>
      <c r="L54">
        <f t="shared" si="6"/>
        <v>112</v>
      </c>
      <c r="M54">
        <f t="shared" si="15"/>
        <v>101</v>
      </c>
      <c r="N54" s="4">
        <f t="shared" si="7"/>
        <v>21</v>
      </c>
      <c r="O54" s="4">
        <f t="shared" si="16"/>
        <v>19.95</v>
      </c>
      <c r="P54" s="4">
        <f t="shared" si="16"/>
        <v>18.952499999999997</v>
      </c>
      <c r="Q54" s="4">
        <f t="shared" si="16"/>
        <v>18.004874999999995</v>
      </c>
      <c r="R54" s="4">
        <f t="shared" si="16"/>
        <v>17.104631249999994</v>
      </c>
      <c r="S54" s="4">
        <f t="shared" si="17"/>
        <v>14.701837812499999</v>
      </c>
      <c r="T54" s="4">
        <f t="shared" si="8"/>
        <v>15.43692970312499</v>
      </c>
      <c r="U54" s="4">
        <f t="shared" si="8"/>
        <v>14.665083217968741</v>
      </c>
      <c r="V54" s="4">
        <f t="shared" si="8"/>
        <v>13.931829057070303</v>
      </c>
      <c r="W54" s="4">
        <f t="shared" si="9"/>
        <v>0</v>
      </c>
      <c r="X54" s="4">
        <f t="shared" si="18"/>
        <v>3.8</v>
      </c>
      <c r="Y54" s="4">
        <f t="shared" si="27"/>
        <v>1.8049999999999999</v>
      </c>
      <c r="Z54" s="4">
        <f t="shared" si="26"/>
        <v>0.85737499999999989</v>
      </c>
      <c r="AA54" s="4">
        <f t="shared" si="19"/>
        <v>0.40725312499999994</v>
      </c>
      <c r="AB54" s="4">
        <f t="shared" si="20"/>
        <v>0.19344523437499997</v>
      </c>
      <c r="AC54" s="4">
        <f t="shared" si="21"/>
        <v>0</v>
      </c>
      <c r="AD54" s="4">
        <f t="shared" si="22"/>
        <v>4.3646081005859358E-2</v>
      </c>
      <c r="AE54" s="4">
        <f t="shared" si="23"/>
        <v>2.0731888477783195E-2</v>
      </c>
    </row>
    <row r="55" spans="1:31">
      <c r="A55">
        <f t="shared" si="28"/>
        <v>11</v>
      </c>
      <c r="B55">
        <f t="shared" si="0"/>
        <v>248</v>
      </c>
      <c r="C55">
        <f t="shared" si="1"/>
        <v>112</v>
      </c>
      <c r="D55">
        <f t="shared" si="4"/>
        <v>7</v>
      </c>
      <c r="E55">
        <f t="shared" si="11"/>
        <v>16</v>
      </c>
      <c r="F55">
        <f t="shared" si="25"/>
        <v>0.5</v>
      </c>
      <c r="G55">
        <f t="shared" si="2"/>
        <v>1</v>
      </c>
      <c r="H55" s="4">
        <f t="shared" si="12"/>
        <v>24.674381500927733</v>
      </c>
      <c r="I55">
        <f t="shared" si="13"/>
        <v>111.67438150092774</v>
      </c>
      <c r="J55">
        <f t="shared" si="5"/>
        <v>2030.4433000168676</v>
      </c>
      <c r="K55">
        <f t="shared" si="14"/>
        <v>3558996</v>
      </c>
      <c r="L55">
        <f t="shared" si="6"/>
        <v>112</v>
      </c>
      <c r="M55">
        <f t="shared" si="15"/>
        <v>87</v>
      </c>
      <c r="N55" s="4">
        <f t="shared" si="7"/>
        <v>21</v>
      </c>
      <c r="O55" s="4">
        <f t="shared" si="16"/>
        <v>19.95</v>
      </c>
      <c r="P55" s="4">
        <f t="shared" si="16"/>
        <v>18.952499999999997</v>
      </c>
      <c r="Q55" s="4">
        <f t="shared" si="16"/>
        <v>18.004874999999995</v>
      </c>
      <c r="R55" s="4">
        <f t="shared" si="16"/>
        <v>17.104631249999994</v>
      </c>
      <c r="S55" s="4">
        <f t="shared" si="17"/>
        <v>16.249399687499992</v>
      </c>
      <c r="T55" s="4">
        <f t="shared" si="8"/>
        <v>13.966745921874999</v>
      </c>
      <c r="U55" s="4">
        <f t="shared" si="8"/>
        <v>14.665083217968741</v>
      </c>
      <c r="V55" s="4">
        <f t="shared" si="8"/>
        <v>13.931829057070303</v>
      </c>
      <c r="W55" s="4">
        <f t="shared" si="9"/>
        <v>4</v>
      </c>
      <c r="X55" s="4">
        <f t="shared" si="18"/>
        <v>0</v>
      </c>
      <c r="Y55" s="4">
        <f t="shared" si="27"/>
        <v>1.8049999999999999</v>
      </c>
      <c r="Z55" s="4">
        <f t="shared" si="26"/>
        <v>0.85737499999999989</v>
      </c>
      <c r="AA55" s="4">
        <f t="shared" si="19"/>
        <v>0.40725312499999994</v>
      </c>
      <c r="AB55" s="4">
        <f t="shared" si="20"/>
        <v>0.19344523437499997</v>
      </c>
      <c r="AC55" s="4">
        <f t="shared" si="21"/>
        <v>9.1886486328124975E-2</v>
      </c>
      <c r="AD55" s="4">
        <f t="shared" si="22"/>
        <v>0</v>
      </c>
      <c r="AE55" s="4">
        <f t="shared" si="23"/>
        <v>2.0731888477783195E-2</v>
      </c>
    </row>
    <row r="56" spans="1:31">
      <c r="A56">
        <f t="shared" si="28"/>
        <v>12</v>
      </c>
      <c r="B56">
        <f t="shared" si="0"/>
        <v>250</v>
      </c>
      <c r="C56">
        <f t="shared" si="1"/>
        <v>112</v>
      </c>
      <c r="D56">
        <f t="shared" si="4"/>
        <v>9</v>
      </c>
      <c r="E56">
        <f t="shared" si="11"/>
        <v>12.444444444444445</v>
      </c>
      <c r="F56">
        <f t="shared" si="25"/>
        <v>0.5</v>
      </c>
      <c r="G56">
        <f t="shared" si="2"/>
        <v>1</v>
      </c>
      <c r="H56" s="4">
        <f t="shared" si="12"/>
        <v>22.908576618409413</v>
      </c>
      <c r="I56">
        <f t="shared" si="13"/>
        <v>109.90857661840941</v>
      </c>
      <c r="J56">
        <f t="shared" si="5"/>
        <v>1998.3377566983527</v>
      </c>
      <c r="K56">
        <f t="shared" si="14"/>
        <v>3558996</v>
      </c>
      <c r="L56">
        <f t="shared" si="6"/>
        <v>112</v>
      </c>
      <c r="M56">
        <f t="shared" si="15"/>
        <v>87</v>
      </c>
      <c r="N56" s="4">
        <f t="shared" si="7"/>
        <v>21</v>
      </c>
      <c r="O56" s="4">
        <f t="shared" si="16"/>
        <v>19.95</v>
      </c>
      <c r="P56" s="4">
        <f t="shared" si="16"/>
        <v>18.952499999999997</v>
      </c>
      <c r="Q56" s="4">
        <f t="shared" si="16"/>
        <v>18.004874999999995</v>
      </c>
      <c r="R56" s="4">
        <f t="shared" si="16"/>
        <v>17.104631249999994</v>
      </c>
      <c r="S56" s="4">
        <f t="shared" si="17"/>
        <v>16.249399687499992</v>
      </c>
      <c r="T56" s="4">
        <f t="shared" si="8"/>
        <v>15.43692970312499</v>
      </c>
      <c r="U56" s="4">
        <f t="shared" si="8"/>
        <v>13.268408625781248</v>
      </c>
      <c r="V56" s="4">
        <f t="shared" si="8"/>
        <v>13.931829057070303</v>
      </c>
      <c r="W56" s="4">
        <f t="shared" si="9"/>
        <v>4</v>
      </c>
      <c r="X56" s="4">
        <f t="shared" si="18"/>
        <v>3.8</v>
      </c>
      <c r="Y56" s="4">
        <f t="shared" si="27"/>
        <v>0</v>
      </c>
      <c r="Z56" s="4">
        <f t="shared" si="26"/>
        <v>0.85737499999999989</v>
      </c>
      <c r="AA56" s="4">
        <f t="shared" si="19"/>
        <v>0.40725312499999994</v>
      </c>
      <c r="AB56" s="4">
        <f t="shared" si="20"/>
        <v>0.19344523437499997</v>
      </c>
      <c r="AC56" s="4">
        <f t="shared" si="21"/>
        <v>9.1886486328124975E-2</v>
      </c>
      <c r="AD56" s="4">
        <f t="shared" si="22"/>
        <v>4.3646081005859358E-2</v>
      </c>
      <c r="AE56" s="4">
        <f t="shared" si="23"/>
        <v>0</v>
      </c>
    </row>
    <row r="57" spans="1:31">
      <c r="A57">
        <f t="shared" si="28"/>
        <v>13</v>
      </c>
      <c r="B57">
        <f t="shared" si="0"/>
        <v>251</v>
      </c>
      <c r="C57">
        <f t="shared" si="1"/>
        <v>113</v>
      </c>
      <c r="D57">
        <f t="shared" si="4"/>
        <v>10</v>
      </c>
      <c r="E57">
        <f t="shared" si="11"/>
        <v>11.3</v>
      </c>
      <c r="F57">
        <f t="shared" si="25"/>
        <v>0.5</v>
      </c>
      <c r="G57">
        <f t="shared" si="2"/>
        <v>1</v>
      </c>
      <c r="H57" s="4">
        <f t="shared" si="12"/>
        <v>23.961809381912861</v>
      </c>
      <c r="I57">
        <f t="shared" si="13"/>
        <v>110.96180938191286</v>
      </c>
      <c r="J57">
        <f t="shared" si="5"/>
        <v>2017.4874433075063</v>
      </c>
      <c r="K57">
        <f t="shared" si="14"/>
        <v>3590772.75</v>
      </c>
      <c r="L57">
        <f t="shared" si="6"/>
        <v>112</v>
      </c>
      <c r="M57">
        <f t="shared" si="15"/>
        <v>87</v>
      </c>
      <c r="N57" s="4">
        <f t="shared" si="7"/>
        <v>21</v>
      </c>
      <c r="O57" s="4">
        <f t="shared" si="16"/>
        <v>19.95</v>
      </c>
      <c r="P57" s="4">
        <f t="shared" si="16"/>
        <v>18.952499999999997</v>
      </c>
      <c r="Q57" s="4">
        <f t="shared" si="16"/>
        <v>18.004874999999995</v>
      </c>
      <c r="R57" s="4">
        <f t="shared" si="16"/>
        <v>17.104631249999994</v>
      </c>
      <c r="S57" s="4">
        <f t="shared" si="17"/>
        <v>16.249399687499992</v>
      </c>
      <c r="T57" s="4">
        <f t="shared" si="8"/>
        <v>15.43692970312499</v>
      </c>
      <c r="U57" s="4">
        <f t="shared" si="8"/>
        <v>14.665083217968741</v>
      </c>
      <c r="V57" s="4">
        <f t="shared" si="8"/>
        <v>12.604988194492185</v>
      </c>
      <c r="W57" s="4">
        <f t="shared" si="9"/>
        <v>4</v>
      </c>
      <c r="X57" s="4">
        <f t="shared" si="18"/>
        <v>3.8</v>
      </c>
      <c r="Y57" s="4">
        <f t="shared" si="27"/>
        <v>1.8049999999999999</v>
      </c>
      <c r="Z57" s="4">
        <f t="shared" si="26"/>
        <v>0</v>
      </c>
      <c r="AA57" s="4">
        <f t="shared" si="19"/>
        <v>0.40725312499999994</v>
      </c>
      <c r="AB57" s="4">
        <f t="shared" si="20"/>
        <v>0.19344523437499997</v>
      </c>
      <c r="AC57" s="4">
        <f t="shared" si="21"/>
        <v>9.1886486328124975E-2</v>
      </c>
      <c r="AD57" s="4">
        <f t="shared" si="22"/>
        <v>4.3646081005859358E-2</v>
      </c>
      <c r="AE57" s="4">
        <f t="shared" si="23"/>
        <v>2.0731888477783195E-2</v>
      </c>
    </row>
    <row r="58" spans="1:31">
      <c r="A58">
        <f t="shared" si="28"/>
        <v>14</v>
      </c>
      <c r="B58">
        <f t="shared" si="0"/>
        <v>253</v>
      </c>
      <c r="C58">
        <f t="shared" si="1"/>
        <v>114</v>
      </c>
      <c r="D58">
        <f t="shared" si="4"/>
        <v>10</v>
      </c>
      <c r="E58">
        <f t="shared" si="11"/>
        <v>11.4</v>
      </c>
      <c r="F58">
        <f t="shared" si="25"/>
        <v>0.5</v>
      </c>
      <c r="G58">
        <f t="shared" si="2"/>
        <v>1</v>
      </c>
      <c r="H58" s="4">
        <f t="shared" si="12"/>
        <v>23.223037262421908</v>
      </c>
      <c r="I58">
        <f t="shared" si="13"/>
        <v>110.22303726242191</v>
      </c>
      <c r="J58">
        <f t="shared" si="5"/>
        <v>2004.0552229531254</v>
      </c>
      <c r="K58">
        <f t="shared" si="14"/>
        <v>3622549.5</v>
      </c>
      <c r="L58">
        <f t="shared" si="6"/>
        <v>113</v>
      </c>
      <c r="M58">
        <f t="shared" si="15"/>
        <v>87</v>
      </c>
      <c r="N58" s="4">
        <f t="shared" si="7"/>
        <v>21</v>
      </c>
      <c r="O58" s="4">
        <f t="shared" si="16"/>
        <v>19.95</v>
      </c>
      <c r="P58" s="4">
        <f t="shared" si="16"/>
        <v>18.952499999999997</v>
      </c>
      <c r="Q58" s="4">
        <f t="shared" si="16"/>
        <v>18.004874999999995</v>
      </c>
      <c r="R58" s="4">
        <f t="shared" si="16"/>
        <v>17.104631249999994</v>
      </c>
      <c r="S58" s="4">
        <f t="shared" si="17"/>
        <v>16.249399687499992</v>
      </c>
      <c r="T58" s="4">
        <f t="shared" si="8"/>
        <v>15.43692970312499</v>
      </c>
      <c r="U58" s="4">
        <f t="shared" si="8"/>
        <v>14.665083217968741</v>
      </c>
      <c r="V58" s="4">
        <f t="shared" si="8"/>
        <v>13.931829057070303</v>
      </c>
      <c r="W58" s="4">
        <f t="shared" si="9"/>
        <v>4</v>
      </c>
      <c r="X58" s="4">
        <f t="shared" si="18"/>
        <v>3.8</v>
      </c>
      <c r="Y58" s="4">
        <f t="shared" si="27"/>
        <v>1.8049999999999999</v>
      </c>
      <c r="Z58" s="4">
        <f t="shared" si="26"/>
        <v>0.85737499999999989</v>
      </c>
      <c r="AA58" s="4">
        <f t="shared" si="19"/>
        <v>0</v>
      </c>
      <c r="AB58" s="4">
        <f t="shared" si="20"/>
        <v>0.19344523437499997</v>
      </c>
      <c r="AC58" s="4">
        <f t="shared" si="21"/>
        <v>9.1886486328124975E-2</v>
      </c>
      <c r="AD58" s="4">
        <f t="shared" si="22"/>
        <v>4.3646081005859358E-2</v>
      </c>
      <c r="AE58" s="4">
        <f t="shared" si="23"/>
        <v>2.0731888477783195E-2</v>
      </c>
    </row>
    <row r="59" spans="1:31">
      <c r="A59">
        <f t="shared" ref="A59:A71" si="29">A58+1</f>
        <v>15</v>
      </c>
      <c r="B59">
        <f t="shared" si="0"/>
        <v>254</v>
      </c>
      <c r="C59">
        <f t="shared" si="1"/>
        <v>114</v>
      </c>
      <c r="D59">
        <f t="shared" si="4"/>
        <v>11</v>
      </c>
      <c r="E59">
        <f t="shared" si="11"/>
        <v>10.363636363636363</v>
      </c>
      <c r="F59">
        <f t="shared" si="25"/>
        <v>0.5</v>
      </c>
      <c r="G59">
        <f t="shared" si="2"/>
        <v>1</v>
      </c>
      <c r="H59" s="4">
        <f t="shared" si="12"/>
        <v>24.786192109374998</v>
      </c>
      <c r="I59">
        <f t="shared" si="13"/>
        <v>112.78619210937499</v>
      </c>
      <c r="J59">
        <f t="shared" si="5"/>
        <v>2050.6580383522723</v>
      </c>
      <c r="K59">
        <f t="shared" si="14"/>
        <v>3622549.5</v>
      </c>
      <c r="L59">
        <f t="shared" si="6"/>
        <v>114</v>
      </c>
      <c r="M59">
        <f t="shared" si="15"/>
        <v>88</v>
      </c>
      <c r="N59" s="4">
        <f t="shared" si="7"/>
        <v>21</v>
      </c>
      <c r="O59" s="4">
        <f t="shared" si="16"/>
        <v>19.95</v>
      </c>
      <c r="P59" s="4">
        <f t="shared" si="16"/>
        <v>18.952499999999997</v>
      </c>
      <c r="Q59" s="4">
        <f t="shared" si="16"/>
        <v>18.004874999999995</v>
      </c>
      <c r="R59" s="4">
        <f t="shared" si="16"/>
        <v>17.104631249999994</v>
      </c>
      <c r="S59" s="4">
        <f t="shared" si="17"/>
        <v>16.249399687499992</v>
      </c>
      <c r="T59" s="4">
        <f t="shared" si="8"/>
        <v>15.43692970312499</v>
      </c>
      <c r="U59" s="4">
        <f t="shared" si="8"/>
        <v>14.665083217968741</v>
      </c>
      <c r="V59" s="4">
        <f t="shared" si="8"/>
        <v>13.931829057070303</v>
      </c>
      <c r="W59" s="4">
        <f t="shared" si="9"/>
        <v>4</v>
      </c>
      <c r="X59" s="4">
        <f t="shared" si="18"/>
        <v>3.8</v>
      </c>
      <c r="Y59" s="4">
        <f t="shared" si="27"/>
        <v>1.8049999999999999</v>
      </c>
      <c r="Z59" s="4">
        <f t="shared" si="26"/>
        <v>0.85737499999999989</v>
      </c>
      <c r="AA59" s="4">
        <f t="shared" si="19"/>
        <v>0.40725312499999994</v>
      </c>
      <c r="AB59" s="4">
        <f t="shared" si="20"/>
        <v>0</v>
      </c>
      <c r="AC59" s="4">
        <f t="shared" si="21"/>
        <v>9.1886486328124975E-2</v>
      </c>
      <c r="AD59" s="4">
        <f t="shared" si="22"/>
        <v>4.3646081005859358E-2</v>
      </c>
      <c r="AE59" s="4">
        <f t="shared" si="23"/>
        <v>2.0731888477783195E-2</v>
      </c>
    </row>
    <row r="60" spans="1:31">
      <c r="A60">
        <f t="shared" si="29"/>
        <v>16</v>
      </c>
      <c r="B60">
        <f t="shared" si="0"/>
        <v>255</v>
      </c>
      <c r="C60">
        <f t="shared" si="1"/>
        <v>114</v>
      </c>
      <c r="D60">
        <f t="shared" si="4"/>
        <v>7</v>
      </c>
      <c r="E60">
        <f t="shared" si="11"/>
        <v>16.285714285714285</v>
      </c>
      <c r="F60">
        <f t="shared" si="25"/>
        <v>0.5</v>
      </c>
      <c r="G60">
        <f t="shared" si="2"/>
        <v>1</v>
      </c>
      <c r="H60" s="4">
        <f t="shared" si="12"/>
        <v>24.898441251953145</v>
      </c>
      <c r="I60">
        <f t="shared" si="13"/>
        <v>117.89844125195314</v>
      </c>
      <c r="J60">
        <f t="shared" si="5"/>
        <v>2143.608022762784</v>
      </c>
      <c r="K60">
        <f t="shared" si="14"/>
        <v>3622549.5</v>
      </c>
      <c r="L60">
        <f t="shared" si="6"/>
        <v>114</v>
      </c>
      <c r="M60">
        <f t="shared" si="15"/>
        <v>93</v>
      </c>
      <c r="N60" s="4">
        <f t="shared" si="7"/>
        <v>21</v>
      </c>
      <c r="O60" s="4">
        <f t="shared" si="16"/>
        <v>19.95</v>
      </c>
      <c r="P60" s="4">
        <f t="shared" si="16"/>
        <v>18.952499999999997</v>
      </c>
      <c r="Q60" s="4">
        <f t="shared" si="16"/>
        <v>18.004874999999995</v>
      </c>
      <c r="R60" s="4">
        <f t="shared" si="16"/>
        <v>17.104631249999994</v>
      </c>
      <c r="S60" s="4">
        <f t="shared" si="17"/>
        <v>16.249399687499992</v>
      </c>
      <c r="T60" s="4">
        <f t="shared" si="8"/>
        <v>15.43692970312499</v>
      </c>
      <c r="U60" s="4">
        <f t="shared" si="8"/>
        <v>14.665083217968741</v>
      </c>
      <c r="V60" s="4">
        <f t="shared" si="8"/>
        <v>13.931829057070303</v>
      </c>
      <c r="W60" s="4">
        <f t="shared" si="9"/>
        <v>0</v>
      </c>
      <c r="X60" s="4">
        <f t="shared" si="18"/>
        <v>3.8</v>
      </c>
      <c r="Y60" s="4">
        <f t="shared" si="27"/>
        <v>1.8049999999999999</v>
      </c>
      <c r="Z60" s="4">
        <f t="shared" si="26"/>
        <v>0.85737499999999989</v>
      </c>
      <c r="AA60" s="4">
        <f t="shared" si="19"/>
        <v>0.40725312499999994</v>
      </c>
      <c r="AB60" s="4">
        <f t="shared" si="20"/>
        <v>0.19344523437499997</v>
      </c>
      <c r="AC60" s="4">
        <f t="shared" si="21"/>
        <v>0</v>
      </c>
      <c r="AD60" s="4">
        <f t="shared" si="22"/>
        <v>4.3646081005859358E-2</v>
      </c>
      <c r="AE60" s="4">
        <f t="shared" si="23"/>
        <v>2.0731888477783195E-2</v>
      </c>
    </row>
    <row r="61" spans="1:31">
      <c r="A61">
        <f t="shared" si="29"/>
        <v>17</v>
      </c>
      <c r="B61">
        <f t="shared" si="0"/>
        <v>251</v>
      </c>
      <c r="C61">
        <f t="shared" si="1"/>
        <v>114</v>
      </c>
      <c r="D61">
        <f t="shared" si="4"/>
        <v>7</v>
      </c>
      <c r="E61">
        <f t="shared" si="11"/>
        <v>16.285714285714285</v>
      </c>
      <c r="F61">
        <f t="shared" si="25"/>
        <v>0.5</v>
      </c>
      <c r="G61">
        <f t="shared" si="2"/>
        <v>1</v>
      </c>
      <c r="H61" s="4">
        <f t="shared" si="12"/>
        <v>24.751759594677747</v>
      </c>
      <c r="I61">
        <f t="shared" si="13"/>
        <v>113.75175959467775</v>
      </c>
      <c r="J61">
        <f t="shared" si="5"/>
        <v>2068.2138108123227</v>
      </c>
      <c r="K61">
        <f t="shared" si="14"/>
        <v>3622549.5</v>
      </c>
      <c r="L61">
        <f t="shared" si="6"/>
        <v>114</v>
      </c>
      <c r="M61">
        <f t="shared" si="15"/>
        <v>89</v>
      </c>
      <c r="N61" s="4">
        <f t="shared" si="7"/>
        <v>21</v>
      </c>
      <c r="O61" s="4">
        <f t="shared" si="16"/>
        <v>19.95</v>
      </c>
      <c r="P61" s="4">
        <f t="shared" si="16"/>
        <v>18.952499999999997</v>
      </c>
      <c r="Q61" s="4">
        <f t="shared" si="16"/>
        <v>18.004874999999995</v>
      </c>
      <c r="R61" s="4">
        <f t="shared" si="16"/>
        <v>17.104631249999994</v>
      </c>
      <c r="S61" s="4">
        <f t="shared" si="17"/>
        <v>16.249399687499992</v>
      </c>
      <c r="T61" s="4">
        <f t="shared" si="17"/>
        <v>15.43692970312499</v>
      </c>
      <c r="U61" s="4">
        <f t="shared" si="17"/>
        <v>14.665083217968741</v>
      </c>
      <c r="V61" s="4">
        <f t="shared" si="17"/>
        <v>13.931829057070303</v>
      </c>
      <c r="W61" s="4">
        <f t="shared" si="9"/>
        <v>4</v>
      </c>
      <c r="X61" s="4">
        <f t="shared" si="18"/>
        <v>0</v>
      </c>
      <c r="Y61" s="4">
        <f t="shared" si="27"/>
        <v>1.8049999999999999</v>
      </c>
      <c r="Z61" s="4">
        <f t="shared" si="26"/>
        <v>0.85737499999999989</v>
      </c>
      <c r="AA61" s="4">
        <f t="shared" si="19"/>
        <v>0.40725312499999994</v>
      </c>
      <c r="AB61" s="4">
        <f t="shared" si="20"/>
        <v>0.19344523437499997</v>
      </c>
      <c r="AC61" s="4">
        <f t="shared" si="21"/>
        <v>9.1886486328124975E-2</v>
      </c>
      <c r="AD61" s="4">
        <f t="shared" si="22"/>
        <v>0</v>
      </c>
      <c r="AE61" s="4">
        <f t="shared" si="23"/>
        <v>2.0731888477783195E-2</v>
      </c>
    </row>
    <row r="62" spans="1:31">
      <c r="A62">
        <f t="shared" si="29"/>
        <v>18</v>
      </c>
      <c r="B62">
        <f t="shared" si="0"/>
        <v>253</v>
      </c>
      <c r="C62">
        <f t="shared" si="1"/>
        <v>114</v>
      </c>
      <c r="D62">
        <f t="shared" si="4"/>
        <v>9</v>
      </c>
      <c r="E62">
        <f t="shared" si="11"/>
        <v>12.666666666666666</v>
      </c>
      <c r="F62">
        <f t="shared" si="25"/>
        <v>0.5</v>
      </c>
      <c r="G62">
        <f t="shared" si="2"/>
        <v>1</v>
      </c>
      <c r="H62" s="4">
        <f t="shared" si="12"/>
        <v>22.982085807471933</v>
      </c>
      <c r="I62">
        <f t="shared" si="13"/>
        <v>111.98208580747193</v>
      </c>
      <c r="J62">
        <f t="shared" si="5"/>
        <v>2036.0379237722168</v>
      </c>
      <c r="K62">
        <f t="shared" si="14"/>
        <v>3622549.5</v>
      </c>
      <c r="L62">
        <f t="shared" si="6"/>
        <v>114</v>
      </c>
      <c r="M62">
        <f t="shared" si="15"/>
        <v>89</v>
      </c>
      <c r="N62" s="4">
        <f t="shared" si="7"/>
        <v>21</v>
      </c>
      <c r="O62" s="4">
        <f t="shared" si="16"/>
        <v>19.95</v>
      </c>
      <c r="P62" s="4">
        <f t="shared" si="16"/>
        <v>18.952499999999997</v>
      </c>
      <c r="Q62" s="4">
        <f t="shared" si="16"/>
        <v>18.004874999999995</v>
      </c>
      <c r="R62" s="4">
        <f t="shared" si="16"/>
        <v>17.104631249999994</v>
      </c>
      <c r="S62" s="4">
        <f t="shared" si="17"/>
        <v>16.249399687499992</v>
      </c>
      <c r="T62" s="4">
        <f t="shared" si="17"/>
        <v>15.43692970312499</v>
      </c>
      <c r="U62" s="4">
        <f t="shared" si="17"/>
        <v>14.665083217968741</v>
      </c>
      <c r="V62" s="4">
        <f t="shared" si="17"/>
        <v>13.931829057070303</v>
      </c>
      <c r="W62" s="4">
        <f t="shared" si="9"/>
        <v>4</v>
      </c>
      <c r="X62" s="4">
        <f t="shared" si="18"/>
        <v>3.8</v>
      </c>
      <c r="Y62" s="4">
        <f t="shared" si="27"/>
        <v>0</v>
      </c>
      <c r="Z62" s="4">
        <f t="shared" si="26"/>
        <v>0.85737499999999989</v>
      </c>
      <c r="AA62" s="4">
        <f t="shared" si="19"/>
        <v>0.40725312499999994</v>
      </c>
      <c r="AB62" s="4">
        <f t="shared" si="20"/>
        <v>0.19344523437499997</v>
      </c>
      <c r="AC62" s="4">
        <f t="shared" si="21"/>
        <v>9.1886486328124975E-2</v>
      </c>
      <c r="AD62" s="4">
        <f t="shared" si="22"/>
        <v>4.3646081005859358E-2</v>
      </c>
      <c r="AE62" s="4">
        <f t="shared" si="23"/>
        <v>0</v>
      </c>
    </row>
    <row r="63" spans="1:31">
      <c r="A63">
        <f t="shared" si="29"/>
        <v>19</v>
      </c>
      <c r="B63">
        <f t="shared" si="0"/>
        <v>254</v>
      </c>
      <c r="C63">
        <f t="shared" si="1"/>
        <v>114</v>
      </c>
      <c r="D63">
        <f t="shared" si="4"/>
        <v>10</v>
      </c>
      <c r="E63">
        <f t="shared" si="11"/>
        <v>11.4</v>
      </c>
      <c r="F63">
        <f t="shared" si="25"/>
        <v>0.5</v>
      </c>
      <c r="G63">
        <f t="shared" si="2"/>
        <v>1</v>
      </c>
      <c r="H63" s="4">
        <f t="shared" si="12"/>
        <v>24.031643111522232</v>
      </c>
      <c r="I63">
        <f t="shared" si="13"/>
        <v>113.03164311152223</v>
      </c>
      <c r="J63">
        <f t="shared" si="5"/>
        <v>2055.1207838458586</v>
      </c>
      <c r="K63">
        <f t="shared" si="14"/>
        <v>3622549.5</v>
      </c>
      <c r="L63">
        <f t="shared" si="6"/>
        <v>114</v>
      </c>
      <c r="M63">
        <f t="shared" si="15"/>
        <v>89</v>
      </c>
      <c r="N63" s="4">
        <f t="shared" si="7"/>
        <v>21</v>
      </c>
      <c r="O63" s="4">
        <f t="shared" si="16"/>
        <v>19.95</v>
      </c>
      <c r="P63" s="4">
        <f t="shared" si="16"/>
        <v>18.952499999999997</v>
      </c>
      <c r="Q63" s="4">
        <f t="shared" si="16"/>
        <v>18.004874999999995</v>
      </c>
      <c r="R63" s="4">
        <f t="shared" si="16"/>
        <v>17.104631249999994</v>
      </c>
      <c r="S63" s="4">
        <f t="shared" si="17"/>
        <v>16.249399687499992</v>
      </c>
      <c r="T63" s="4">
        <f t="shared" si="17"/>
        <v>15.43692970312499</v>
      </c>
      <c r="U63" s="4">
        <f t="shared" si="17"/>
        <v>14.665083217968741</v>
      </c>
      <c r="V63" s="4">
        <f t="shared" si="17"/>
        <v>13.931829057070303</v>
      </c>
      <c r="W63" s="4">
        <f t="shared" si="9"/>
        <v>4</v>
      </c>
      <c r="X63" s="4">
        <f t="shared" si="18"/>
        <v>3.8</v>
      </c>
      <c r="Y63" s="4">
        <f t="shared" si="27"/>
        <v>1.8049999999999999</v>
      </c>
      <c r="Z63" s="4">
        <f t="shared" si="26"/>
        <v>0</v>
      </c>
      <c r="AA63" s="4">
        <f t="shared" si="19"/>
        <v>0.40725312499999994</v>
      </c>
      <c r="AB63" s="4">
        <f t="shared" si="20"/>
        <v>0.19344523437499997</v>
      </c>
      <c r="AC63" s="4">
        <f t="shared" si="21"/>
        <v>9.1886486328124975E-2</v>
      </c>
      <c r="AD63" s="4">
        <f t="shared" si="22"/>
        <v>4.3646081005859358E-2</v>
      </c>
      <c r="AE63" s="4">
        <f t="shared" si="23"/>
        <v>2.0731888477783195E-2</v>
      </c>
    </row>
    <row r="64" spans="1:31">
      <c r="A64">
        <f t="shared" si="29"/>
        <v>20</v>
      </c>
      <c r="B64">
        <f t="shared" si="0"/>
        <v>255</v>
      </c>
      <c r="C64">
        <f t="shared" si="1"/>
        <v>114</v>
      </c>
      <c r="D64">
        <f t="shared" si="4"/>
        <v>10</v>
      </c>
      <c r="E64">
        <f t="shared" si="11"/>
        <v>11.4</v>
      </c>
      <c r="F64">
        <f t="shared" si="25"/>
        <v>0.5</v>
      </c>
      <c r="G64">
        <f t="shared" si="2"/>
        <v>1</v>
      </c>
      <c r="H64" s="4">
        <f t="shared" si="12"/>
        <v>24.549878125000017</v>
      </c>
      <c r="I64">
        <f t="shared" si="13"/>
        <v>113.54987812500002</v>
      </c>
      <c r="J64">
        <f t="shared" si="5"/>
        <v>2064.5432386363636</v>
      </c>
      <c r="K64">
        <f t="shared" si="14"/>
        <v>3622549.5</v>
      </c>
      <c r="L64">
        <f t="shared" si="6"/>
        <v>114</v>
      </c>
      <c r="M64">
        <f t="shared" si="15"/>
        <v>89</v>
      </c>
      <c r="N64" s="4">
        <f t="shared" si="7"/>
        <v>21</v>
      </c>
      <c r="O64" s="4">
        <f t="shared" si="16"/>
        <v>19.95</v>
      </c>
      <c r="P64" s="4">
        <f t="shared" si="16"/>
        <v>18.952499999999997</v>
      </c>
      <c r="Q64" s="4">
        <f t="shared" si="16"/>
        <v>18.004874999999995</v>
      </c>
      <c r="R64" s="4">
        <f t="shared" si="16"/>
        <v>17.104631249999994</v>
      </c>
      <c r="S64" s="4">
        <f t="shared" si="17"/>
        <v>16.249399687499992</v>
      </c>
      <c r="T64" s="4">
        <f t="shared" si="17"/>
        <v>15.43692970312499</v>
      </c>
      <c r="U64" s="4">
        <f t="shared" si="17"/>
        <v>14.665083217968741</v>
      </c>
      <c r="V64" s="4">
        <f t="shared" si="17"/>
        <v>13.931829057070303</v>
      </c>
      <c r="W64" s="4">
        <f t="shared" si="9"/>
        <v>4</v>
      </c>
      <c r="X64" s="4">
        <f t="shared" si="18"/>
        <v>3.8</v>
      </c>
      <c r="Y64" s="4">
        <f t="shared" si="27"/>
        <v>1.8049999999999999</v>
      </c>
      <c r="Z64" s="4">
        <f t="shared" si="26"/>
        <v>0.85737499999999989</v>
      </c>
      <c r="AA64" s="4">
        <f t="shared" si="19"/>
        <v>0</v>
      </c>
      <c r="AB64" s="4">
        <f t="shared" si="20"/>
        <v>0.19344523437499997</v>
      </c>
      <c r="AC64" s="4">
        <f t="shared" si="21"/>
        <v>9.1886486328124975E-2</v>
      </c>
      <c r="AD64" s="4">
        <f t="shared" si="22"/>
        <v>4.3646081005859358E-2</v>
      </c>
      <c r="AE64" s="4">
        <f t="shared" si="23"/>
        <v>2.0731888477783195E-2</v>
      </c>
    </row>
    <row r="65" spans="1:31">
      <c r="A65">
        <f t="shared" si="29"/>
        <v>21</v>
      </c>
      <c r="B65">
        <f t="shared" si="0"/>
        <v>255</v>
      </c>
      <c r="C65">
        <f t="shared" si="1"/>
        <v>114</v>
      </c>
      <c r="D65">
        <f t="shared" si="4"/>
        <v>11</v>
      </c>
      <c r="E65">
        <f t="shared" si="11"/>
        <v>10.363636363636363</v>
      </c>
      <c r="F65">
        <f t="shared" si="25"/>
        <v>0.5</v>
      </c>
      <c r="G65">
        <f t="shared" si="2"/>
        <v>1</v>
      </c>
      <c r="H65" s="4">
        <f t="shared" si="12"/>
        <v>24.786192109374998</v>
      </c>
      <c r="I65">
        <f t="shared" si="13"/>
        <v>113.78619210937499</v>
      </c>
      <c r="J65">
        <f t="shared" si="5"/>
        <v>2068.8398565340904</v>
      </c>
      <c r="K65">
        <f t="shared" si="14"/>
        <v>3622549.5</v>
      </c>
      <c r="L65">
        <f t="shared" si="6"/>
        <v>114</v>
      </c>
      <c r="M65">
        <f t="shared" si="15"/>
        <v>89</v>
      </c>
      <c r="N65" s="4">
        <f t="shared" si="7"/>
        <v>21</v>
      </c>
      <c r="O65" s="4">
        <f t="shared" si="16"/>
        <v>19.95</v>
      </c>
      <c r="P65" s="4">
        <f t="shared" si="16"/>
        <v>18.952499999999997</v>
      </c>
      <c r="Q65" s="4">
        <f t="shared" si="16"/>
        <v>18.004874999999995</v>
      </c>
      <c r="R65" s="4">
        <f t="shared" si="16"/>
        <v>17.104631249999994</v>
      </c>
      <c r="S65" s="4">
        <f t="shared" si="17"/>
        <v>16.249399687499992</v>
      </c>
      <c r="T65" s="4">
        <f t="shared" si="17"/>
        <v>15.43692970312499</v>
      </c>
      <c r="U65" s="4">
        <f t="shared" si="17"/>
        <v>14.665083217968741</v>
      </c>
      <c r="V65" s="4">
        <f t="shared" si="17"/>
        <v>13.931829057070303</v>
      </c>
      <c r="W65" s="4">
        <f t="shared" si="9"/>
        <v>4</v>
      </c>
      <c r="X65" s="4">
        <f t="shared" si="18"/>
        <v>3.8</v>
      </c>
      <c r="Y65" s="4">
        <f t="shared" si="27"/>
        <v>1.8049999999999999</v>
      </c>
      <c r="Z65" s="4">
        <f t="shared" si="26"/>
        <v>0.85737499999999989</v>
      </c>
      <c r="AA65" s="4">
        <f t="shared" si="19"/>
        <v>0.40725312499999994</v>
      </c>
      <c r="AB65" s="4">
        <f t="shared" si="20"/>
        <v>0</v>
      </c>
      <c r="AC65" s="4">
        <f t="shared" si="21"/>
        <v>9.1886486328124975E-2</v>
      </c>
      <c r="AD65" s="4">
        <f t="shared" si="22"/>
        <v>4.3646081005859358E-2</v>
      </c>
      <c r="AE65" s="4">
        <f t="shared" si="23"/>
        <v>2.0731888477783195E-2</v>
      </c>
    </row>
    <row r="66" spans="1:31">
      <c r="A66">
        <f t="shared" si="29"/>
        <v>22</v>
      </c>
      <c r="B66">
        <f t="shared" si="0"/>
        <v>255</v>
      </c>
      <c r="C66">
        <f t="shared" si="1"/>
        <v>114</v>
      </c>
      <c r="D66">
        <f t="shared" si="4"/>
        <v>7</v>
      </c>
      <c r="E66">
        <f t="shared" si="11"/>
        <v>16.285714285714285</v>
      </c>
      <c r="F66">
        <f t="shared" si="25"/>
        <v>0.5</v>
      </c>
      <c r="G66">
        <f t="shared" si="2"/>
        <v>1</v>
      </c>
      <c r="H66" s="4">
        <f t="shared" si="12"/>
        <v>24.898441251953145</v>
      </c>
      <c r="I66">
        <f t="shared" si="13"/>
        <v>117.89844125195314</v>
      </c>
      <c r="J66">
        <f t="shared" si="5"/>
        <v>2143.608022762784</v>
      </c>
      <c r="K66">
        <f t="shared" si="14"/>
        <v>3622549.5</v>
      </c>
      <c r="L66">
        <f t="shared" si="6"/>
        <v>114</v>
      </c>
      <c r="M66">
        <f t="shared" si="15"/>
        <v>93</v>
      </c>
      <c r="N66" s="4">
        <f t="shared" si="7"/>
        <v>21</v>
      </c>
      <c r="O66" s="4">
        <f t="shared" si="16"/>
        <v>19.95</v>
      </c>
      <c r="P66" s="4">
        <f t="shared" si="16"/>
        <v>18.952499999999997</v>
      </c>
      <c r="Q66" s="4">
        <f t="shared" si="16"/>
        <v>18.004874999999995</v>
      </c>
      <c r="R66" s="4">
        <f t="shared" si="16"/>
        <v>17.104631249999994</v>
      </c>
      <c r="S66" s="4">
        <f t="shared" si="17"/>
        <v>16.249399687499992</v>
      </c>
      <c r="T66" s="4">
        <f t="shared" si="17"/>
        <v>15.43692970312499</v>
      </c>
      <c r="U66" s="4">
        <f t="shared" si="17"/>
        <v>14.665083217968741</v>
      </c>
      <c r="V66" s="4">
        <f t="shared" si="17"/>
        <v>13.931829057070303</v>
      </c>
      <c r="W66" s="4">
        <f t="shared" si="9"/>
        <v>0</v>
      </c>
      <c r="X66" s="4">
        <f t="shared" si="18"/>
        <v>3.8</v>
      </c>
      <c r="Y66" s="4">
        <f t="shared" si="27"/>
        <v>1.8049999999999999</v>
      </c>
      <c r="Z66" s="4">
        <f t="shared" si="26"/>
        <v>0.85737499999999989</v>
      </c>
      <c r="AA66" s="4">
        <f t="shared" si="19"/>
        <v>0.40725312499999994</v>
      </c>
      <c r="AB66" s="4">
        <f t="shared" si="20"/>
        <v>0.19344523437499997</v>
      </c>
      <c r="AC66" s="4">
        <f t="shared" si="21"/>
        <v>0</v>
      </c>
      <c r="AD66" s="4">
        <f t="shared" si="22"/>
        <v>4.3646081005859358E-2</v>
      </c>
      <c r="AE66" s="4">
        <f t="shared" si="23"/>
        <v>2.0731888477783195E-2</v>
      </c>
    </row>
    <row r="67" spans="1:31">
      <c r="A67">
        <f t="shared" si="29"/>
        <v>23</v>
      </c>
      <c r="B67">
        <f t="shared" si="0"/>
        <v>251</v>
      </c>
      <c r="C67">
        <f t="shared" si="1"/>
        <v>114</v>
      </c>
      <c r="D67">
        <f t="shared" si="4"/>
        <v>7</v>
      </c>
      <c r="E67">
        <f t="shared" si="11"/>
        <v>16.285714285714285</v>
      </c>
      <c r="F67">
        <f t="shared" si="25"/>
        <v>0.5</v>
      </c>
      <c r="G67">
        <f t="shared" si="2"/>
        <v>1</v>
      </c>
      <c r="H67" s="4">
        <f t="shared" si="12"/>
        <v>24.751759594677747</v>
      </c>
      <c r="I67">
        <f t="shared" si="13"/>
        <v>113.75175959467775</v>
      </c>
      <c r="J67">
        <f t="shared" si="5"/>
        <v>2068.2138108123227</v>
      </c>
      <c r="K67">
        <f t="shared" si="14"/>
        <v>3622549.5</v>
      </c>
      <c r="L67">
        <f t="shared" si="6"/>
        <v>114</v>
      </c>
      <c r="M67">
        <f t="shared" si="15"/>
        <v>89</v>
      </c>
      <c r="N67" s="4">
        <f t="shared" si="7"/>
        <v>21</v>
      </c>
      <c r="O67" s="4">
        <f t="shared" si="16"/>
        <v>19.95</v>
      </c>
      <c r="P67" s="4">
        <f t="shared" si="16"/>
        <v>18.952499999999997</v>
      </c>
      <c r="Q67" s="4">
        <f t="shared" si="16"/>
        <v>18.004874999999995</v>
      </c>
      <c r="R67" s="4">
        <f t="shared" si="16"/>
        <v>17.104631249999994</v>
      </c>
      <c r="S67" s="4">
        <f t="shared" si="17"/>
        <v>16.249399687499992</v>
      </c>
      <c r="T67" s="4">
        <f t="shared" si="17"/>
        <v>15.43692970312499</v>
      </c>
      <c r="U67" s="4">
        <f t="shared" si="17"/>
        <v>14.665083217968741</v>
      </c>
      <c r="V67" s="4">
        <f t="shared" si="17"/>
        <v>13.931829057070303</v>
      </c>
      <c r="W67" s="4">
        <f t="shared" si="9"/>
        <v>4</v>
      </c>
      <c r="X67" s="4">
        <f t="shared" si="18"/>
        <v>0</v>
      </c>
      <c r="Y67" s="4">
        <f t="shared" si="27"/>
        <v>1.8049999999999999</v>
      </c>
      <c r="Z67" s="4">
        <f t="shared" si="26"/>
        <v>0.85737499999999989</v>
      </c>
      <c r="AA67" s="4">
        <f t="shared" si="19"/>
        <v>0.40725312499999994</v>
      </c>
      <c r="AB67" s="4">
        <f t="shared" si="20"/>
        <v>0.19344523437499997</v>
      </c>
      <c r="AC67" s="4">
        <f t="shared" si="21"/>
        <v>9.1886486328124975E-2</v>
      </c>
      <c r="AD67" s="4">
        <f t="shared" si="22"/>
        <v>0</v>
      </c>
      <c r="AE67" s="4">
        <f t="shared" si="23"/>
        <v>2.0731888477783195E-2</v>
      </c>
    </row>
    <row r="68" spans="1:31">
      <c r="A68">
        <f t="shared" si="29"/>
        <v>24</v>
      </c>
      <c r="B68">
        <f t="shared" si="0"/>
        <v>253</v>
      </c>
      <c r="C68">
        <f t="shared" si="1"/>
        <v>114</v>
      </c>
      <c r="D68">
        <f t="shared" si="4"/>
        <v>9</v>
      </c>
      <c r="E68">
        <f t="shared" si="11"/>
        <v>12.666666666666666</v>
      </c>
      <c r="F68">
        <f t="shared" si="25"/>
        <v>0.5</v>
      </c>
      <c r="G68">
        <f t="shared" si="2"/>
        <v>1</v>
      </c>
      <c r="H68" s="4">
        <f t="shared" si="12"/>
        <v>22.982085807471933</v>
      </c>
      <c r="I68">
        <f t="shared" si="13"/>
        <v>111.98208580747193</v>
      </c>
      <c r="J68">
        <f t="shared" si="5"/>
        <v>2036.0379237722168</v>
      </c>
      <c r="K68">
        <f t="shared" si="14"/>
        <v>3622549.5</v>
      </c>
      <c r="L68">
        <f t="shared" si="6"/>
        <v>114</v>
      </c>
      <c r="M68">
        <f t="shared" si="15"/>
        <v>89</v>
      </c>
      <c r="N68" s="4">
        <f t="shared" si="7"/>
        <v>21</v>
      </c>
      <c r="O68" s="4">
        <f t="shared" si="16"/>
        <v>19.95</v>
      </c>
      <c r="P68" s="4">
        <f t="shared" si="16"/>
        <v>18.952499999999997</v>
      </c>
      <c r="Q68" s="4">
        <f t="shared" si="16"/>
        <v>18.004874999999995</v>
      </c>
      <c r="R68" s="4">
        <f t="shared" si="16"/>
        <v>17.104631249999994</v>
      </c>
      <c r="S68" s="4">
        <f t="shared" si="17"/>
        <v>16.249399687499992</v>
      </c>
      <c r="T68" s="4">
        <f t="shared" si="17"/>
        <v>15.43692970312499</v>
      </c>
      <c r="U68" s="4">
        <f t="shared" si="17"/>
        <v>14.665083217968741</v>
      </c>
      <c r="V68" s="4">
        <f t="shared" si="17"/>
        <v>13.931829057070303</v>
      </c>
      <c r="W68" s="4">
        <f t="shared" si="9"/>
        <v>4</v>
      </c>
      <c r="X68" s="4">
        <f t="shared" si="18"/>
        <v>3.8</v>
      </c>
      <c r="Y68" s="4">
        <f t="shared" si="27"/>
        <v>0</v>
      </c>
      <c r="Z68" s="4">
        <f t="shared" si="26"/>
        <v>0.85737499999999989</v>
      </c>
      <c r="AA68" s="4">
        <f t="shared" si="19"/>
        <v>0.40725312499999994</v>
      </c>
      <c r="AB68" s="4">
        <f t="shared" si="20"/>
        <v>0.19344523437499997</v>
      </c>
      <c r="AC68" s="4">
        <f t="shared" si="21"/>
        <v>9.1886486328124975E-2</v>
      </c>
      <c r="AD68" s="4">
        <f t="shared" si="22"/>
        <v>4.3646081005859358E-2</v>
      </c>
      <c r="AE68" s="4">
        <f t="shared" si="23"/>
        <v>0</v>
      </c>
    </row>
    <row r="69" spans="1:31">
      <c r="A69">
        <f t="shared" si="29"/>
        <v>25</v>
      </c>
      <c r="B69">
        <f t="shared" si="0"/>
        <v>254</v>
      </c>
      <c r="C69">
        <f t="shared" si="1"/>
        <v>114</v>
      </c>
      <c r="D69">
        <f t="shared" si="4"/>
        <v>10</v>
      </c>
      <c r="E69">
        <f t="shared" si="11"/>
        <v>11.4</v>
      </c>
      <c r="F69">
        <f t="shared" si="25"/>
        <v>0.5</v>
      </c>
      <c r="G69">
        <f t="shared" si="2"/>
        <v>1</v>
      </c>
      <c r="H69" s="4">
        <f t="shared" si="12"/>
        <v>24.031643111522232</v>
      </c>
      <c r="I69">
        <f t="shared" si="13"/>
        <v>113.03164311152223</v>
      </c>
      <c r="J69">
        <f t="shared" si="5"/>
        <v>2055.1207838458586</v>
      </c>
      <c r="K69">
        <f t="shared" si="14"/>
        <v>3622549.5</v>
      </c>
      <c r="L69">
        <f t="shared" si="6"/>
        <v>114</v>
      </c>
      <c r="M69">
        <f t="shared" si="15"/>
        <v>89</v>
      </c>
      <c r="N69" s="4">
        <f t="shared" si="7"/>
        <v>21</v>
      </c>
      <c r="O69" s="4">
        <f t="shared" si="16"/>
        <v>19.95</v>
      </c>
      <c r="P69" s="4">
        <f t="shared" si="16"/>
        <v>18.952499999999997</v>
      </c>
      <c r="Q69" s="4">
        <f t="shared" si="16"/>
        <v>18.004874999999995</v>
      </c>
      <c r="R69" s="4">
        <f t="shared" si="16"/>
        <v>17.104631249999994</v>
      </c>
      <c r="S69" s="4">
        <f t="shared" si="17"/>
        <v>16.249399687499992</v>
      </c>
      <c r="T69" s="4">
        <f t="shared" si="17"/>
        <v>15.43692970312499</v>
      </c>
      <c r="U69" s="4">
        <f t="shared" si="17"/>
        <v>14.665083217968741</v>
      </c>
      <c r="V69" s="4">
        <f t="shared" si="17"/>
        <v>13.931829057070303</v>
      </c>
      <c r="W69" s="4">
        <f t="shared" si="9"/>
        <v>4</v>
      </c>
      <c r="X69" s="4">
        <f t="shared" si="18"/>
        <v>3.8</v>
      </c>
      <c r="Y69" s="4">
        <f t="shared" si="27"/>
        <v>1.8049999999999999</v>
      </c>
      <c r="Z69" s="4">
        <f t="shared" si="26"/>
        <v>0</v>
      </c>
      <c r="AA69" s="4">
        <f t="shared" si="19"/>
        <v>0.40725312499999994</v>
      </c>
      <c r="AB69" s="4">
        <f t="shared" si="20"/>
        <v>0.19344523437499997</v>
      </c>
      <c r="AC69" s="4">
        <f t="shared" si="21"/>
        <v>9.1886486328124975E-2</v>
      </c>
      <c r="AD69" s="4">
        <f t="shared" si="22"/>
        <v>4.3646081005859358E-2</v>
      </c>
      <c r="AE69" s="4">
        <f t="shared" si="23"/>
        <v>2.0731888477783195E-2</v>
      </c>
    </row>
    <row r="70" spans="1:31">
      <c r="A70">
        <f t="shared" si="29"/>
        <v>26</v>
      </c>
      <c r="B70">
        <f t="shared" si="0"/>
        <v>255</v>
      </c>
      <c r="C70">
        <f t="shared" si="1"/>
        <v>114</v>
      </c>
      <c r="D70">
        <f t="shared" si="4"/>
        <v>10</v>
      </c>
      <c r="E70">
        <f t="shared" si="11"/>
        <v>11.4</v>
      </c>
      <c r="F70">
        <f t="shared" si="25"/>
        <v>0.5</v>
      </c>
      <c r="G70">
        <f t="shared" si="2"/>
        <v>1</v>
      </c>
      <c r="H70" s="4">
        <f t="shared" si="12"/>
        <v>24.549878125000017</v>
      </c>
      <c r="I70">
        <f t="shared" si="13"/>
        <v>113.54987812500002</v>
      </c>
      <c r="J70">
        <f t="shared" si="5"/>
        <v>2064.5432386363636</v>
      </c>
      <c r="K70">
        <f t="shared" si="14"/>
        <v>3622549.5</v>
      </c>
      <c r="L70">
        <f t="shared" si="6"/>
        <v>114</v>
      </c>
      <c r="M70">
        <f t="shared" si="15"/>
        <v>89</v>
      </c>
      <c r="N70" s="4">
        <f t="shared" si="7"/>
        <v>21</v>
      </c>
      <c r="O70" s="4">
        <f t="shared" si="16"/>
        <v>19.95</v>
      </c>
      <c r="P70" s="4">
        <f t="shared" si="16"/>
        <v>18.952499999999997</v>
      </c>
      <c r="Q70" s="4">
        <f t="shared" si="16"/>
        <v>18.004874999999995</v>
      </c>
      <c r="R70" s="4">
        <f t="shared" si="16"/>
        <v>17.104631249999994</v>
      </c>
      <c r="S70" s="4">
        <f t="shared" si="17"/>
        <v>16.249399687499992</v>
      </c>
      <c r="T70" s="4">
        <f t="shared" si="17"/>
        <v>15.43692970312499</v>
      </c>
      <c r="U70" s="4">
        <f t="shared" si="17"/>
        <v>14.665083217968741</v>
      </c>
      <c r="V70" s="4">
        <f t="shared" si="17"/>
        <v>13.931829057070303</v>
      </c>
      <c r="W70" s="4">
        <f t="shared" si="9"/>
        <v>4</v>
      </c>
      <c r="X70" s="4">
        <f t="shared" si="18"/>
        <v>3.8</v>
      </c>
      <c r="Y70" s="4">
        <f t="shared" si="27"/>
        <v>1.8049999999999999</v>
      </c>
      <c r="Z70" s="4">
        <f t="shared" si="26"/>
        <v>0.85737499999999989</v>
      </c>
      <c r="AA70" s="4">
        <f t="shared" si="19"/>
        <v>0</v>
      </c>
      <c r="AB70" s="4">
        <f t="shared" si="20"/>
        <v>0.19344523437499997</v>
      </c>
      <c r="AC70" s="4">
        <f t="shared" si="21"/>
        <v>9.1886486328124975E-2</v>
      </c>
      <c r="AD70" s="4">
        <f t="shared" si="22"/>
        <v>4.3646081005859358E-2</v>
      </c>
      <c r="AE70" s="4">
        <f t="shared" si="23"/>
        <v>2.0731888477783195E-2</v>
      </c>
    </row>
    <row r="71" spans="1:31">
      <c r="A71">
        <f t="shared" si="29"/>
        <v>27</v>
      </c>
      <c r="B71">
        <f t="shared" si="0"/>
        <v>255</v>
      </c>
      <c r="C71">
        <f t="shared" si="1"/>
        <v>114</v>
      </c>
      <c r="D71">
        <f t="shared" si="4"/>
        <v>11</v>
      </c>
      <c r="E71">
        <f t="shared" si="11"/>
        <v>10.363636363636363</v>
      </c>
      <c r="F71">
        <f t="shared" si="25"/>
        <v>0.5</v>
      </c>
      <c r="G71">
        <f t="shared" si="2"/>
        <v>1</v>
      </c>
      <c r="H71" s="4">
        <f t="shared" si="12"/>
        <v>24.786192109374998</v>
      </c>
      <c r="I71">
        <f t="shared" si="13"/>
        <v>113.78619210937499</v>
      </c>
      <c r="J71">
        <f t="shared" si="5"/>
        <v>2068.8398565340904</v>
      </c>
      <c r="K71">
        <f t="shared" si="14"/>
        <v>3622549.5</v>
      </c>
      <c r="L71">
        <f t="shared" si="6"/>
        <v>114</v>
      </c>
      <c r="M71">
        <f t="shared" si="15"/>
        <v>89</v>
      </c>
      <c r="N71" s="4">
        <f t="shared" si="7"/>
        <v>21</v>
      </c>
      <c r="O71" s="4">
        <f t="shared" si="16"/>
        <v>19.95</v>
      </c>
      <c r="P71" s="4">
        <f t="shared" si="16"/>
        <v>18.952499999999997</v>
      </c>
      <c r="Q71" s="4">
        <f t="shared" si="16"/>
        <v>18.004874999999995</v>
      </c>
      <c r="R71" s="4">
        <f t="shared" si="16"/>
        <v>17.104631249999994</v>
      </c>
      <c r="S71" s="4">
        <f t="shared" si="17"/>
        <v>16.249399687499992</v>
      </c>
      <c r="T71" s="4">
        <f t="shared" si="17"/>
        <v>15.43692970312499</v>
      </c>
      <c r="U71" s="4">
        <f t="shared" si="17"/>
        <v>14.665083217968741</v>
      </c>
      <c r="V71" s="4">
        <f t="shared" si="17"/>
        <v>13.931829057070303</v>
      </c>
      <c r="W71" s="4">
        <f t="shared" si="9"/>
        <v>4</v>
      </c>
      <c r="X71" s="4">
        <f t="shared" si="18"/>
        <v>3.8</v>
      </c>
      <c r="Y71" s="4">
        <f t="shared" si="27"/>
        <v>1.8049999999999999</v>
      </c>
      <c r="Z71" s="4">
        <f t="shared" si="26"/>
        <v>0.85737499999999989</v>
      </c>
      <c r="AA71" s="4">
        <f t="shared" si="19"/>
        <v>0.40725312499999994</v>
      </c>
      <c r="AB71" s="4">
        <f t="shared" si="20"/>
        <v>0</v>
      </c>
      <c r="AC71" s="4">
        <f t="shared" si="21"/>
        <v>9.1886486328124975E-2</v>
      </c>
      <c r="AD71" s="4">
        <f t="shared" si="22"/>
        <v>4.3646081005859358E-2</v>
      </c>
      <c r="AE71" s="4">
        <f t="shared" si="23"/>
        <v>2.0731888477783195E-2</v>
      </c>
    </row>
    <row r="72" spans="1:31">
      <c r="A72">
        <f t="shared" ref="A72:A75" si="30">A71+1</f>
        <v>28</v>
      </c>
      <c r="B72">
        <f t="shared" si="0"/>
        <v>255</v>
      </c>
      <c r="C72">
        <f t="shared" si="1"/>
        <v>114</v>
      </c>
      <c r="D72">
        <f t="shared" si="4"/>
        <v>7</v>
      </c>
      <c r="E72">
        <f t="shared" si="11"/>
        <v>16.285714285714285</v>
      </c>
      <c r="F72">
        <f t="shared" si="25"/>
        <v>0.5</v>
      </c>
      <c r="G72">
        <f t="shared" si="2"/>
        <v>1</v>
      </c>
      <c r="H72" s="4">
        <f t="shared" si="12"/>
        <v>24.898441251953145</v>
      </c>
      <c r="I72">
        <f t="shared" si="13"/>
        <v>117.89844125195314</v>
      </c>
      <c r="J72">
        <f t="shared" si="5"/>
        <v>2143.608022762784</v>
      </c>
      <c r="K72">
        <f t="shared" si="14"/>
        <v>3622549.5</v>
      </c>
      <c r="L72">
        <f t="shared" si="6"/>
        <v>114</v>
      </c>
      <c r="M72">
        <f t="shared" si="15"/>
        <v>93</v>
      </c>
      <c r="N72" s="4">
        <f t="shared" si="7"/>
        <v>21</v>
      </c>
      <c r="O72" s="4">
        <f t="shared" si="16"/>
        <v>19.95</v>
      </c>
      <c r="P72" s="4">
        <f t="shared" si="16"/>
        <v>18.952499999999997</v>
      </c>
      <c r="Q72" s="4">
        <f t="shared" si="16"/>
        <v>18.004874999999995</v>
      </c>
      <c r="R72" s="4">
        <f t="shared" si="16"/>
        <v>17.104631249999994</v>
      </c>
      <c r="S72" s="4">
        <f t="shared" si="17"/>
        <v>16.249399687499992</v>
      </c>
      <c r="T72" s="4">
        <f t="shared" si="17"/>
        <v>15.43692970312499</v>
      </c>
      <c r="U72" s="4">
        <f t="shared" si="17"/>
        <v>14.665083217968741</v>
      </c>
      <c r="V72" s="4">
        <f t="shared" si="17"/>
        <v>13.931829057070303</v>
      </c>
      <c r="W72" s="4">
        <f t="shared" si="9"/>
        <v>0</v>
      </c>
      <c r="X72" s="4">
        <f t="shared" si="18"/>
        <v>3.8</v>
      </c>
      <c r="Y72" s="4">
        <f t="shared" si="27"/>
        <v>1.8049999999999999</v>
      </c>
      <c r="Z72" s="4">
        <f t="shared" si="26"/>
        <v>0.85737499999999989</v>
      </c>
      <c r="AA72" s="4">
        <f t="shared" si="19"/>
        <v>0.40725312499999994</v>
      </c>
      <c r="AB72" s="4">
        <f t="shared" si="20"/>
        <v>0.19344523437499997</v>
      </c>
      <c r="AC72" s="4">
        <f t="shared" si="21"/>
        <v>0</v>
      </c>
      <c r="AD72" s="4">
        <f t="shared" si="22"/>
        <v>4.3646081005859358E-2</v>
      </c>
      <c r="AE72" s="4">
        <f t="shared" si="23"/>
        <v>2.0731888477783195E-2</v>
      </c>
    </row>
    <row r="73" spans="1:31">
      <c r="A73">
        <f t="shared" si="30"/>
        <v>29</v>
      </c>
      <c r="B73">
        <f t="shared" si="0"/>
        <v>251</v>
      </c>
      <c r="C73">
        <f t="shared" si="1"/>
        <v>114</v>
      </c>
      <c r="D73">
        <f t="shared" si="4"/>
        <v>7</v>
      </c>
      <c r="E73">
        <f t="shared" si="11"/>
        <v>16.285714285714285</v>
      </c>
      <c r="F73">
        <f t="shared" si="25"/>
        <v>0.5</v>
      </c>
      <c r="G73">
        <f t="shared" si="2"/>
        <v>1</v>
      </c>
      <c r="H73" s="4">
        <f t="shared" si="12"/>
        <v>24.751759594677747</v>
      </c>
      <c r="I73">
        <f t="shared" si="13"/>
        <v>113.75175959467775</v>
      </c>
      <c r="J73">
        <f t="shared" si="5"/>
        <v>2068.2138108123227</v>
      </c>
      <c r="K73">
        <f t="shared" si="14"/>
        <v>3622549.5</v>
      </c>
      <c r="L73">
        <f t="shared" si="6"/>
        <v>114</v>
      </c>
      <c r="M73">
        <f t="shared" si="15"/>
        <v>89</v>
      </c>
      <c r="N73" s="4">
        <f t="shared" si="7"/>
        <v>21</v>
      </c>
      <c r="O73" s="4">
        <f t="shared" si="16"/>
        <v>19.95</v>
      </c>
      <c r="P73" s="4">
        <f t="shared" si="16"/>
        <v>18.952499999999997</v>
      </c>
      <c r="Q73" s="4">
        <f t="shared" si="16"/>
        <v>18.004874999999995</v>
      </c>
      <c r="R73" s="4">
        <f t="shared" si="16"/>
        <v>17.104631249999994</v>
      </c>
      <c r="S73" s="4">
        <f t="shared" si="17"/>
        <v>16.249399687499992</v>
      </c>
      <c r="T73" s="4">
        <f t="shared" si="17"/>
        <v>15.43692970312499</v>
      </c>
      <c r="U73" s="4">
        <f t="shared" si="17"/>
        <v>14.665083217968741</v>
      </c>
      <c r="V73" s="4">
        <f t="shared" si="17"/>
        <v>13.931829057070303</v>
      </c>
      <c r="W73" s="4">
        <f t="shared" si="9"/>
        <v>4</v>
      </c>
      <c r="X73" s="4">
        <f t="shared" si="18"/>
        <v>0</v>
      </c>
      <c r="Y73" s="4">
        <f t="shared" si="27"/>
        <v>1.8049999999999999</v>
      </c>
      <c r="Z73" s="4">
        <f t="shared" si="26"/>
        <v>0.85737499999999989</v>
      </c>
      <c r="AA73" s="4">
        <f t="shared" si="19"/>
        <v>0.40725312499999994</v>
      </c>
      <c r="AB73" s="4">
        <f t="shared" si="20"/>
        <v>0.19344523437499997</v>
      </c>
      <c r="AC73" s="4">
        <f t="shared" si="21"/>
        <v>9.1886486328124975E-2</v>
      </c>
      <c r="AD73" s="4">
        <f t="shared" si="22"/>
        <v>0</v>
      </c>
      <c r="AE73" s="4">
        <f t="shared" si="23"/>
        <v>2.0731888477783195E-2</v>
      </c>
    </row>
    <row r="74" spans="1:31">
      <c r="A74">
        <f t="shared" si="30"/>
        <v>30</v>
      </c>
      <c r="B74">
        <f t="shared" si="0"/>
        <v>253</v>
      </c>
      <c r="C74">
        <f t="shared" si="1"/>
        <v>114</v>
      </c>
      <c r="D74">
        <f t="shared" si="4"/>
        <v>9</v>
      </c>
      <c r="E74">
        <f t="shared" si="11"/>
        <v>12.666666666666666</v>
      </c>
      <c r="F74">
        <f t="shared" si="25"/>
        <v>0.5</v>
      </c>
      <c r="G74">
        <f t="shared" si="2"/>
        <v>1</v>
      </c>
      <c r="H74" s="4">
        <f t="shared" si="12"/>
        <v>22.982085807471933</v>
      </c>
      <c r="I74">
        <f t="shared" si="13"/>
        <v>111.98208580747193</v>
      </c>
      <c r="J74">
        <f t="shared" si="5"/>
        <v>2036.0379237722168</v>
      </c>
      <c r="K74">
        <f t="shared" si="14"/>
        <v>3622549.5</v>
      </c>
      <c r="L74">
        <f t="shared" si="6"/>
        <v>114</v>
      </c>
      <c r="M74">
        <f t="shared" si="15"/>
        <v>89</v>
      </c>
      <c r="N74" s="4">
        <f t="shared" si="7"/>
        <v>21</v>
      </c>
      <c r="O74" s="4">
        <f t="shared" si="16"/>
        <v>19.95</v>
      </c>
      <c r="P74" s="4">
        <f t="shared" si="16"/>
        <v>18.952499999999997</v>
      </c>
      <c r="Q74" s="4">
        <f t="shared" si="16"/>
        <v>18.004874999999995</v>
      </c>
      <c r="R74" s="4">
        <f t="shared" si="16"/>
        <v>17.104631249999994</v>
      </c>
      <c r="S74" s="4">
        <f t="shared" si="17"/>
        <v>16.249399687499992</v>
      </c>
      <c r="T74" s="4">
        <f t="shared" si="17"/>
        <v>15.43692970312499</v>
      </c>
      <c r="U74" s="4">
        <f t="shared" si="17"/>
        <v>14.665083217968741</v>
      </c>
      <c r="V74" s="4">
        <f t="shared" si="17"/>
        <v>13.931829057070303</v>
      </c>
      <c r="W74" s="4">
        <f t="shared" si="9"/>
        <v>4</v>
      </c>
      <c r="X74" s="4">
        <f t="shared" si="18"/>
        <v>3.8</v>
      </c>
      <c r="Y74" s="4">
        <f t="shared" si="27"/>
        <v>0</v>
      </c>
      <c r="Z74" s="4">
        <f t="shared" si="26"/>
        <v>0.85737499999999989</v>
      </c>
      <c r="AA74" s="4">
        <f t="shared" si="19"/>
        <v>0.40725312499999994</v>
      </c>
      <c r="AB74" s="4">
        <f t="shared" si="20"/>
        <v>0.19344523437499997</v>
      </c>
      <c r="AC74" s="4">
        <f t="shared" si="21"/>
        <v>9.1886486328124975E-2</v>
      </c>
      <c r="AD74" s="4">
        <f t="shared" si="22"/>
        <v>4.3646081005859358E-2</v>
      </c>
      <c r="AE74" s="4">
        <f t="shared" si="23"/>
        <v>0</v>
      </c>
    </row>
    <row r="75" spans="1:31">
      <c r="A75">
        <f t="shared" si="30"/>
        <v>31</v>
      </c>
      <c r="B75">
        <f t="shared" si="0"/>
        <v>254</v>
      </c>
      <c r="C75">
        <f t="shared" si="1"/>
        <v>114</v>
      </c>
      <c r="D75">
        <f t="shared" si="4"/>
        <v>10</v>
      </c>
      <c r="E75">
        <f t="shared" si="11"/>
        <v>11.4</v>
      </c>
      <c r="F75">
        <f t="shared" si="25"/>
        <v>0.5</v>
      </c>
      <c r="G75">
        <f t="shared" si="2"/>
        <v>1</v>
      </c>
      <c r="H75" s="4">
        <f t="shared" si="12"/>
        <v>24.031643111522232</v>
      </c>
      <c r="I75">
        <f t="shared" si="13"/>
        <v>113.03164311152223</v>
      </c>
      <c r="J75">
        <f t="shared" si="5"/>
        <v>2055.1207838458586</v>
      </c>
      <c r="K75">
        <f t="shared" si="14"/>
        <v>3622549.5</v>
      </c>
      <c r="L75">
        <f t="shared" si="6"/>
        <v>114</v>
      </c>
      <c r="M75">
        <f t="shared" si="15"/>
        <v>89</v>
      </c>
      <c r="N75" s="4">
        <f t="shared" si="7"/>
        <v>21</v>
      </c>
      <c r="O75" s="4">
        <f t="shared" si="16"/>
        <v>19.95</v>
      </c>
      <c r="P75" s="4">
        <f t="shared" si="16"/>
        <v>18.952499999999997</v>
      </c>
      <c r="Q75" s="4">
        <f t="shared" si="16"/>
        <v>18.004874999999995</v>
      </c>
      <c r="R75" s="4">
        <f t="shared" si="16"/>
        <v>17.104631249999994</v>
      </c>
      <c r="S75" s="4">
        <f t="shared" si="17"/>
        <v>16.249399687499992</v>
      </c>
      <c r="T75" s="4">
        <f t="shared" si="17"/>
        <v>15.43692970312499</v>
      </c>
      <c r="U75" s="4">
        <f t="shared" si="17"/>
        <v>14.665083217968741</v>
      </c>
      <c r="V75" s="4">
        <f t="shared" si="17"/>
        <v>13.931829057070303</v>
      </c>
      <c r="W75" s="4">
        <f t="shared" si="9"/>
        <v>4</v>
      </c>
      <c r="X75" s="4">
        <f t="shared" si="18"/>
        <v>3.8</v>
      </c>
      <c r="Y75" s="4">
        <f t="shared" si="27"/>
        <v>1.8049999999999999</v>
      </c>
      <c r="Z75" s="4">
        <f t="shared" si="26"/>
        <v>0</v>
      </c>
      <c r="AA75" s="4">
        <f t="shared" si="19"/>
        <v>0.40725312499999994</v>
      </c>
      <c r="AB75" s="4">
        <f t="shared" si="20"/>
        <v>0.19344523437499997</v>
      </c>
      <c r="AC75" s="4">
        <f t="shared" si="21"/>
        <v>9.1886486328124975E-2</v>
      </c>
      <c r="AD75" s="4">
        <f t="shared" si="22"/>
        <v>4.3646081005859358E-2</v>
      </c>
      <c r="AE75" s="4">
        <f t="shared" si="23"/>
        <v>2.0731888477783195E-2</v>
      </c>
    </row>
    <row r="76" spans="1:31">
      <c r="A76">
        <f t="shared" ref="A76:A80" si="31">A75+1</f>
        <v>32</v>
      </c>
      <c r="B76">
        <f t="shared" si="0"/>
        <v>255</v>
      </c>
      <c r="C76">
        <f t="shared" si="1"/>
        <v>114</v>
      </c>
      <c r="D76">
        <f t="shared" si="4"/>
        <v>10</v>
      </c>
      <c r="E76">
        <f t="shared" si="11"/>
        <v>11.4</v>
      </c>
      <c r="F76">
        <f t="shared" si="25"/>
        <v>0.5</v>
      </c>
      <c r="G76">
        <f t="shared" si="2"/>
        <v>1</v>
      </c>
      <c r="H76" s="4">
        <f t="shared" si="12"/>
        <v>24.549878125000017</v>
      </c>
      <c r="I76">
        <f t="shared" ref="I76:I80" si="32">IF(H76&gt;0,H76,0)+M76</f>
        <v>113.54987812500002</v>
      </c>
      <c r="J76">
        <f t="shared" si="5"/>
        <v>2064.5432386363636</v>
      </c>
      <c r="K76">
        <f t="shared" si="14"/>
        <v>3622549.5</v>
      </c>
      <c r="L76">
        <f t="shared" si="6"/>
        <v>114</v>
      </c>
      <c r="M76">
        <f t="shared" si="15"/>
        <v>89</v>
      </c>
      <c r="N76" s="4">
        <f t="shared" si="7"/>
        <v>21</v>
      </c>
      <c r="O76" s="4">
        <f t="shared" si="16"/>
        <v>19.95</v>
      </c>
      <c r="P76" s="4">
        <f t="shared" si="16"/>
        <v>18.952499999999997</v>
      </c>
      <c r="Q76" s="4">
        <f t="shared" si="16"/>
        <v>18.004874999999995</v>
      </c>
      <c r="R76" s="4">
        <f t="shared" si="16"/>
        <v>17.104631249999994</v>
      </c>
      <c r="S76" s="4">
        <f t="shared" si="17"/>
        <v>16.249399687499992</v>
      </c>
      <c r="T76" s="4">
        <f t="shared" si="17"/>
        <v>15.43692970312499</v>
      </c>
      <c r="U76" s="4">
        <f t="shared" si="17"/>
        <v>14.665083217968741</v>
      </c>
      <c r="V76" s="4">
        <f t="shared" si="17"/>
        <v>13.931829057070303</v>
      </c>
      <c r="W76" s="4">
        <f t="shared" si="9"/>
        <v>4</v>
      </c>
      <c r="X76" s="4">
        <f t="shared" si="18"/>
        <v>3.8</v>
      </c>
      <c r="Y76" s="4">
        <f t="shared" si="27"/>
        <v>1.8049999999999999</v>
      </c>
      <c r="Z76" s="4">
        <f t="shared" si="26"/>
        <v>0.85737499999999989</v>
      </c>
      <c r="AA76" s="4">
        <f t="shared" si="19"/>
        <v>0</v>
      </c>
      <c r="AB76" s="4">
        <f t="shared" si="20"/>
        <v>0.19344523437499997</v>
      </c>
      <c r="AC76" s="4">
        <f t="shared" si="21"/>
        <v>9.1886486328124975E-2</v>
      </c>
      <c r="AD76" s="4">
        <f t="shared" si="22"/>
        <v>4.3646081005859358E-2</v>
      </c>
      <c r="AE76" s="4">
        <f t="shared" si="23"/>
        <v>2.0731888477783195E-2</v>
      </c>
    </row>
    <row r="77" spans="1:31">
      <c r="A77">
        <f t="shared" si="31"/>
        <v>33</v>
      </c>
      <c r="B77">
        <f t="shared" si="0"/>
        <v>255</v>
      </c>
      <c r="C77">
        <f t="shared" si="1"/>
        <v>114</v>
      </c>
      <c r="D77">
        <f t="shared" si="4"/>
        <v>11</v>
      </c>
      <c r="E77">
        <f t="shared" si="11"/>
        <v>10.363636363636363</v>
      </c>
      <c r="F77">
        <f t="shared" si="25"/>
        <v>0.5</v>
      </c>
      <c r="G77">
        <f t="shared" si="2"/>
        <v>1</v>
      </c>
      <c r="H77" s="4">
        <f t="shared" si="12"/>
        <v>24.786192109374998</v>
      </c>
      <c r="I77">
        <f t="shared" si="32"/>
        <v>113.78619210937499</v>
      </c>
      <c r="J77">
        <f t="shared" si="5"/>
        <v>2068.8398565340904</v>
      </c>
      <c r="K77">
        <f t="shared" si="14"/>
        <v>3622549.5</v>
      </c>
      <c r="L77">
        <f t="shared" si="6"/>
        <v>114</v>
      </c>
      <c r="M77">
        <f t="shared" si="15"/>
        <v>89</v>
      </c>
      <c r="N77" s="4">
        <f t="shared" si="7"/>
        <v>21</v>
      </c>
      <c r="O77" s="4">
        <f t="shared" si="16"/>
        <v>19.95</v>
      </c>
      <c r="P77" s="4">
        <f t="shared" si="16"/>
        <v>18.952499999999997</v>
      </c>
      <c r="Q77" s="4">
        <f t="shared" si="16"/>
        <v>18.004874999999995</v>
      </c>
      <c r="R77" s="4">
        <f t="shared" si="16"/>
        <v>17.104631249999994</v>
      </c>
      <c r="S77" s="4">
        <f t="shared" si="17"/>
        <v>16.249399687499992</v>
      </c>
      <c r="T77" s="4">
        <f t="shared" si="17"/>
        <v>15.43692970312499</v>
      </c>
      <c r="U77" s="4">
        <f t="shared" si="17"/>
        <v>14.665083217968741</v>
      </c>
      <c r="V77" s="4">
        <f t="shared" si="17"/>
        <v>13.931829057070303</v>
      </c>
      <c r="W77" s="4">
        <f t="shared" si="9"/>
        <v>4</v>
      </c>
      <c r="X77" s="4">
        <f t="shared" si="18"/>
        <v>3.8</v>
      </c>
      <c r="Y77" s="4">
        <f t="shared" si="27"/>
        <v>1.8049999999999999</v>
      </c>
      <c r="Z77" s="4">
        <f t="shared" si="26"/>
        <v>0.85737499999999989</v>
      </c>
      <c r="AA77" s="4">
        <f t="shared" si="19"/>
        <v>0.40725312499999994</v>
      </c>
      <c r="AB77" s="4">
        <f t="shared" si="20"/>
        <v>0</v>
      </c>
      <c r="AC77" s="4">
        <f t="shared" si="21"/>
        <v>9.1886486328124975E-2</v>
      </c>
      <c r="AD77" s="4">
        <f t="shared" si="22"/>
        <v>4.3646081005859358E-2</v>
      </c>
      <c r="AE77" s="4">
        <f t="shared" si="23"/>
        <v>2.0731888477783195E-2</v>
      </c>
    </row>
    <row r="78" spans="1:31">
      <c r="A78">
        <f t="shared" si="31"/>
        <v>34</v>
      </c>
      <c r="B78">
        <f t="shared" si="0"/>
        <v>255</v>
      </c>
      <c r="C78">
        <f t="shared" si="1"/>
        <v>114</v>
      </c>
      <c r="D78">
        <f t="shared" si="4"/>
        <v>7</v>
      </c>
      <c r="E78">
        <f t="shared" si="11"/>
        <v>16.285714285714285</v>
      </c>
      <c r="F78">
        <f t="shared" si="25"/>
        <v>0.5</v>
      </c>
      <c r="G78">
        <f t="shared" si="2"/>
        <v>1</v>
      </c>
      <c r="H78" s="4">
        <f t="shared" si="12"/>
        <v>24.898441251953145</v>
      </c>
      <c r="I78">
        <f t="shared" si="32"/>
        <v>117.89844125195314</v>
      </c>
      <c r="J78">
        <f t="shared" si="5"/>
        <v>2143.608022762784</v>
      </c>
      <c r="K78">
        <f t="shared" si="14"/>
        <v>3622549.5</v>
      </c>
      <c r="L78">
        <f t="shared" si="6"/>
        <v>114</v>
      </c>
      <c r="M78">
        <f t="shared" si="15"/>
        <v>93</v>
      </c>
      <c r="N78" s="4">
        <f t="shared" si="7"/>
        <v>21</v>
      </c>
      <c r="O78" s="4">
        <f t="shared" si="16"/>
        <v>19.95</v>
      </c>
      <c r="P78" s="4">
        <f t="shared" si="16"/>
        <v>18.952499999999997</v>
      </c>
      <c r="Q78" s="4">
        <f t="shared" si="16"/>
        <v>18.004874999999995</v>
      </c>
      <c r="R78" s="4">
        <f t="shared" si="16"/>
        <v>17.104631249999994</v>
      </c>
      <c r="S78" s="4">
        <f t="shared" si="17"/>
        <v>16.249399687499992</v>
      </c>
      <c r="T78" s="4">
        <f t="shared" si="17"/>
        <v>15.43692970312499</v>
      </c>
      <c r="U78" s="4">
        <f t="shared" si="17"/>
        <v>14.665083217968741</v>
      </c>
      <c r="V78" s="4">
        <f t="shared" si="17"/>
        <v>13.931829057070303</v>
      </c>
      <c r="W78" s="4">
        <f t="shared" si="9"/>
        <v>0</v>
      </c>
      <c r="X78" s="4">
        <f t="shared" si="18"/>
        <v>3.8</v>
      </c>
      <c r="Y78" s="4">
        <f t="shared" si="27"/>
        <v>1.8049999999999999</v>
      </c>
      <c r="Z78" s="4">
        <f t="shared" si="26"/>
        <v>0.85737499999999989</v>
      </c>
      <c r="AA78" s="4">
        <f t="shared" si="19"/>
        <v>0.40725312499999994</v>
      </c>
      <c r="AB78" s="4">
        <f t="shared" si="20"/>
        <v>0.19344523437499997</v>
      </c>
      <c r="AC78" s="4">
        <f t="shared" si="21"/>
        <v>0</v>
      </c>
      <c r="AD78" s="4">
        <f t="shared" si="22"/>
        <v>4.3646081005859358E-2</v>
      </c>
      <c r="AE78" s="4">
        <f t="shared" si="23"/>
        <v>2.0731888477783195E-2</v>
      </c>
    </row>
    <row r="79" spans="1:31">
      <c r="A79">
        <f t="shared" si="31"/>
        <v>35</v>
      </c>
      <c r="B79">
        <f t="shared" si="0"/>
        <v>251</v>
      </c>
      <c r="C79">
        <f t="shared" si="1"/>
        <v>114</v>
      </c>
      <c r="D79">
        <f t="shared" si="4"/>
        <v>7</v>
      </c>
      <c r="E79">
        <f t="shared" si="11"/>
        <v>16.285714285714285</v>
      </c>
      <c r="F79">
        <f t="shared" si="25"/>
        <v>0.5</v>
      </c>
      <c r="G79">
        <f t="shared" si="2"/>
        <v>1</v>
      </c>
      <c r="H79" s="4">
        <f t="shared" si="12"/>
        <v>24.751759594677747</v>
      </c>
      <c r="I79">
        <f t="shared" si="32"/>
        <v>113.75175959467775</v>
      </c>
      <c r="J79">
        <f t="shared" si="5"/>
        <v>2068.2138108123227</v>
      </c>
      <c r="K79">
        <f t="shared" si="14"/>
        <v>3622549.5</v>
      </c>
      <c r="L79">
        <f t="shared" si="6"/>
        <v>114</v>
      </c>
      <c r="M79">
        <f t="shared" si="15"/>
        <v>89</v>
      </c>
      <c r="N79" s="4">
        <f t="shared" si="7"/>
        <v>21</v>
      </c>
      <c r="O79" s="4">
        <f t="shared" si="16"/>
        <v>19.95</v>
      </c>
      <c r="P79" s="4">
        <f t="shared" si="16"/>
        <v>18.952499999999997</v>
      </c>
      <c r="Q79" s="4">
        <f t="shared" si="16"/>
        <v>18.004874999999995</v>
      </c>
      <c r="R79" s="4">
        <f t="shared" si="16"/>
        <v>17.104631249999994</v>
      </c>
      <c r="S79" s="4">
        <f t="shared" si="17"/>
        <v>16.249399687499992</v>
      </c>
      <c r="T79" s="4">
        <f t="shared" si="17"/>
        <v>15.43692970312499</v>
      </c>
      <c r="U79" s="4">
        <f t="shared" si="17"/>
        <v>14.665083217968741</v>
      </c>
      <c r="V79" s="4">
        <f t="shared" si="17"/>
        <v>13.931829057070303</v>
      </c>
      <c r="W79" s="4">
        <f t="shared" si="9"/>
        <v>4</v>
      </c>
      <c r="X79" s="4">
        <f t="shared" si="18"/>
        <v>0</v>
      </c>
      <c r="Y79" s="4">
        <f t="shared" si="27"/>
        <v>1.8049999999999999</v>
      </c>
      <c r="Z79" s="4">
        <f t="shared" si="26"/>
        <v>0.85737499999999989</v>
      </c>
      <c r="AA79" s="4">
        <f t="shared" si="19"/>
        <v>0.40725312499999994</v>
      </c>
      <c r="AB79" s="4">
        <f t="shared" si="20"/>
        <v>0.19344523437499997</v>
      </c>
      <c r="AC79" s="4">
        <f t="shared" si="21"/>
        <v>9.1886486328124975E-2</v>
      </c>
      <c r="AD79" s="4">
        <f t="shared" si="22"/>
        <v>0</v>
      </c>
      <c r="AE79" s="4">
        <f t="shared" si="23"/>
        <v>2.0731888477783195E-2</v>
      </c>
    </row>
    <row r="80" spans="1:31">
      <c r="A80">
        <f t="shared" si="31"/>
        <v>36</v>
      </c>
      <c r="B80">
        <f t="shared" si="0"/>
        <v>253</v>
      </c>
      <c r="C80">
        <f t="shared" si="1"/>
        <v>114</v>
      </c>
      <c r="D80">
        <f t="shared" si="4"/>
        <v>9</v>
      </c>
      <c r="E80">
        <f>IF(D80&gt;0,C80/D80,0)</f>
        <v>12.666666666666666</v>
      </c>
      <c r="F80">
        <f t="shared" si="25"/>
        <v>0.5</v>
      </c>
      <c r="G80">
        <f t="shared" si="2"/>
        <v>1</v>
      </c>
      <c r="H80" s="4">
        <f t="shared" si="12"/>
        <v>22.982085807471933</v>
      </c>
      <c r="I80">
        <f t="shared" si="32"/>
        <v>111.98208580747193</v>
      </c>
      <c r="J80">
        <f t="shared" si="5"/>
        <v>2036.0379237722168</v>
      </c>
      <c r="K80">
        <f t="shared" si="14"/>
        <v>3622549.5</v>
      </c>
      <c r="L80">
        <f t="shared" si="6"/>
        <v>114</v>
      </c>
      <c r="M80">
        <f t="shared" si="15"/>
        <v>89</v>
      </c>
      <c r="N80" s="4">
        <f t="shared" si="7"/>
        <v>21</v>
      </c>
      <c r="O80" s="4">
        <f t="shared" si="16"/>
        <v>19.95</v>
      </c>
      <c r="P80" s="4">
        <f t="shared" si="16"/>
        <v>18.952499999999997</v>
      </c>
      <c r="Q80" s="4">
        <f t="shared" si="16"/>
        <v>18.004874999999995</v>
      </c>
      <c r="R80" s="4">
        <f t="shared" si="16"/>
        <v>17.104631249999994</v>
      </c>
      <c r="S80" s="4">
        <f t="shared" si="17"/>
        <v>16.249399687499992</v>
      </c>
      <c r="T80" s="4">
        <f t="shared" si="17"/>
        <v>15.43692970312499</v>
      </c>
      <c r="U80" s="4">
        <f t="shared" si="17"/>
        <v>14.665083217968741</v>
      </c>
      <c r="V80" s="4">
        <f t="shared" si="17"/>
        <v>13.931829057070303</v>
      </c>
      <c r="W80" s="4">
        <f t="shared" si="9"/>
        <v>4</v>
      </c>
      <c r="X80" s="4">
        <f t="shared" si="18"/>
        <v>3.8</v>
      </c>
      <c r="Y80" s="4">
        <f t="shared" si="27"/>
        <v>0</v>
      </c>
      <c r="Z80" s="4">
        <f t="shared" si="26"/>
        <v>0.85737499999999989</v>
      </c>
      <c r="AA80" s="4">
        <f t="shared" si="19"/>
        <v>0.40725312499999994</v>
      </c>
      <c r="AB80" s="4">
        <f t="shared" si="20"/>
        <v>0.19344523437499997</v>
      </c>
      <c r="AC80" s="4">
        <f t="shared" si="21"/>
        <v>9.1886486328124975E-2</v>
      </c>
      <c r="AD80" s="4">
        <f t="shared" si="22"/>
        <v>4.3646081005859358E-2</v>
      </c>
      <c r="AE80" s="4">
        <f t="shared" si="23"/>
        <v>0</v>
      </c>
    </row>
    <row r="81" spans="5:5">
      <c r="E81">
        <f t="shared" si="11"/>
        <v>0</v>
      </c>
    </row>
  </sheetData>
  <pageMargins left="0.7" right="0.7" top="0.75" bottom="0.75" header="0.3" footer="0.3"/>
  <pageSetup orientation="portrait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AAF59-74DD-8741-972D-AB9022076D4B}">
  <dimension ref="A1:F60"/>
  <sheetViews>
    <sheetView workbookViewId="0"/>
  </sheetViews>
  <sheetFormatPr baseColWidth="10" defaultRowHeight="16"/>
  <cols>
    <col min="1" max="1" width="29" bestFit="1" customWidth="1"/>
  </cols>
  <sheetData>
    <row r="1" spans="1:4">
      <c r="A1" t="s">
        <v>102</v>
      </c>
      <c r="B1">
        <f>Vehicle!E12</f>
        <v>1954</v>
      </c>
    </row>
    <row r="3" spans="1:4">
      <c r="A3" t="s">
        <v>218</v>
      </c>
    </row>
    <row r="5" spans="1:4">
      <c r="A5" t="s">
        <v>219</v>
      </c>
      <c r="B5">
        <f>Agriculture!D11</f>
        <v>4.3886882891414132</v>
      </c>
    </row>
    <row r="6" spans="1:4">
      <c r="A6" t="s">
        <v>223</v>
      </c>
      <c r="B6">
        <f>B5*B1+SUM(B26:D26)+B43+B59</f>
        <v>623352.74400414666</v>
      </c>
    </row>
    <row r="7" spans="1:4">
      <c r="A7" t="s">
        <v>220</v>
      </c>
      <c r="B7">
        <v>1</v>
      </c>
    </row>
    <row r="8" spans="1:4">
      <c r="A8" t="s">
        <v>221</v>
      </c>
      <c r="B8">
        <f>B6/B7</f>
        <v>623352.74400414666</v>
      </c>
    </row>
    <row r="9" spans="1:4">
      <c r="A9" t="s">
        <v>222</v>
      </c>
      <c r="B9">
        <v>2</v>
      </c>
    </row>
    <row r="10" spans="1:4">
      <c r="A10" t="s">
        <v>411</v>
      </c>
      <c r="B10">
        <f>B8*B9</f>
        <v>1246705.4880082933</v>
      </c>
    </row>
    <row r="12" spans="1:4">
      <c r="A12" t="s">
        <v>242</v>
      </c>
      <c r="B12" t="s">
        <v>248</v>
      </c>
      <c r="C12" t="s">
        <v>249</v>
      </c>
      <c r="D12" t="s">
        <v>250</v>
      </c>
    </row>
    <row r="13" spans="1:4">
      <c r="A13" t="s">
        <v>281</v>
      </c>
      <c r="B13">
        <f>Agriculture!D13*B1</f>
        <v>26645.454545454544</v>
      </c>
    </row>
    <row r="14" spans="1:4">
      <c r="A14" t="s">
        <v>254</v>
      </c>
      <c r="B14">
        <v>0.1</v>
      </c>
    </row>
    <row r="15" spans="1:4">
      <c r="A15" t="s">
        <v>243</v>
      </c>
      <c r="B15">
        <f>B16/B1</f>
        <v>3.4090909090909087</v>
      </c>
      <c r="C15">
        <f>C16/B1</f>
        <v>10.227272727272727</v>
      </c>
      <c r="D15">
        <f>D16/B1</f>
        <v>0.68181818181818177</v>
      </c>
    </row>
    <row r="16" spans="1:4">
      <c r="A16" t="s">
        <v>244</v>
      </c>
      <c r="B16">
        <f>B13*0.25</f>
        <v>6661.363636363636</v>
      </c>
      <c r="C16">
        <f>B13*0.75</f>
        <v>19984.090909090908</v>
      </c>
      <c r="D16">
        <f>B13*0.05</f>
        <v>1332.2727272727273</v>
      </c>
    </row>
    <row r="17" spans="1:6">
      <c r="A17" t="s">
        <v>245</v>
      </c>
      <c r="B17">
        <v>0.66</v>
      </c>
      <c r="C17">
        <v>0.66</v>
      </c>
      <c r="D17">
        <v>0.66</v>
      </c>
    </row>
    <row r="18" spans="1:6">
      <c r="A18" t="s">
        <v>246</v>
      </c>
      <c r="B18">
        <f>B16/B17</f>
        <v>10092.975206611569</v>
      </c>
      <c r="C18">
        <f>C16/C17</f>
        <v>30278.925619834707</v>
      </c>
      <c r="D18">
        <f>D16/D17</f>
        <v>2018.5950413223138</v>
      </c>
    </row>
    <row r="19" spans="1:6">
      <c r="A19" t="s">
        <v>296</v>
      </c>
      <c r="B19">
        <f>B18/2</f>
        <v>5046.4876033057844</v>
      </c>
      <c r="C19">
        <f>C18/6</f>
        <v>5046.4876033057844</v>
      </c>
      <c r="D19">
        <f>D18/4</f>
        <v>504.64876033057845</v>
      </c>
    </row>
    <row r="20" spans="1:6">
      <c r="A20" t="s">
        <v>414</v>
      </c>
      <c r="B20">
        <f>SUM(B19:D19)</f>
        <v>10597.623966942147</v>
      </c>
    </row>
    <row r="21" spans="1:6">
      <c r="A21" t="s">
        <v>297</v>
      </c>
      <c r="B21">
        <v>0.27100000000000002</v>
      </c>
      <c r="C21" t="s">
        <v>12</v>
      </c>
    </row>
    <row r="22" spans="1:6">
      <c r="A22" t="s">
        <v>295</v>
      </c>
      <c r="B22">
        <f>SUM(B19:D19)*B21*11</f>
        <v>31591.51704545454</v>
      </c>
    </row>
    <row r="23" spans="1:6">
      <c r="A23" t="s">
        <v>252</v>
      </c>
      <c r="B23">
        <f>B24*0.25</f>
        <v>0.55555555555555558</v>
      </c>
      <c r="C23">
        <f t="shared" ref="C23:D23" si="0">C24*0.25</f>
        <v>1.4583333333333333</v>
      </c>
      <c r="D23">
        <f t="shared" si="0"/>
        <v>1.4583333333333333</v>
      </c>
      <c r="F23" t="s">
        <v>247</v>
      </c>
    </row>
    <row r="24" spans="1:6">
      <c r="A24" t="s">
        <v>222</v>
      </c>
      <c r="B24">
        <f>(1+1.5+1.5)/1.8</f>
        <v>2.2222222222222223</v>
      </c>
      <c r="C24">
        <f>(1+5+4.5)/1.8</f>
        <v>5.833333333333333</v>
      </c>
      <c r="D24">
        <f>(1+5+4.5)/1.8</f>
        <v>5.833333333333333</v>
      </c>
    </row>
    <row r="25" spans="1:6">
      <c r="A25" t="s">
        <v>251</v>
      </c>
      <c r="B25">
        <f>B18*B24</f>
        <v>22428.833792470155</v>
      </c>
      <c r="C25">
        <f>C18*C24</f>
        <v>176627.06611570244</v>
      </c>
      <c r="D25">
        <f>D18*D24</f>
        <v>11775.13774104683</v>
      </c>
    </row>
    <row r="26" spans="1:6">
      <c r="A26" t="s">
        <v>253</v>
      </c>
      <c r="B26">
        <f>B25*$B$14</f>
        <v>2242.8833792470155</v>
      </c>
      <c r="C26">
        <f t="shared" ref="C26:D26" si="1">C25*$B$14</f>
        <v>17662.706611570244</v>
      </c>
      <c r="D26">
        <f t="shared" si="1"/>
        <v>1177.5137741046831</v>
      </c>
    </row>
    <row r="27" spans="1:6">
      <c r="A27" t="s">
        <v>411</v>
      </c>
      <c r="B27">
        <f>SUM(B25:D25)-SUM(B26:D26)</f>
        <v>189747.9338842975</v>
      </c>
    </row>
    <row r="29" spans="1:6">
      <c r="A29" t="s">
        <v>273</v>
      </c>
      <c r="B29" t="s">
        <v>280</v>
      </c>
    </row>
    <row r="31" spans="1:6">
      <c r="A31" t="s">
        <v>281</v>
      </c>
      <c r="B31">
        <f>Agriculture!D14*B1</f>
        <v>8881.8181818181802</v>
      </c>
    </row>
    <row r="32" spans="1:6">
      <c r="A32" t="s">
        <v>245</v>
      </c>
      <c r="B32">
        <v>0.75</v>
      </c>
    </row>
    <row r="33" spans="1:4">
      <c r="A33" t="s">
        <v>246</v>
      </c>
      <c r="B33">
        <f>B31/B32</f>
        <v>11842.42424242424</v>
      </c>
    </row>
    <row r="34" spans="1:4">
      <c r="A34" t="s">
        <v>282</v>
      </c>
      <c r="B34">
        <v>105</v>
      </c>
    </row>
    <row r="35" spans="1:4">
      <c r="A35" t="s">
        <v>283</v>
      </c>
      <c r="B35">
        <f>B33/B34</f>
        <v>112.78499278499277</v>
      </c>
    </row>
    <row r="36" spans="1:4">
      <c r="A36" t="s">
        <v>294</v>
      </c>
      <c r="B36">
        <v>4</v>
      </c>
    </row>
    <row r="37" spans="1:4">
      <c r="A37" t="s">
        <v>295</v>
      </c>
      <c r="B37">
        <f>B35*B36*11</f>
        <v>4962.539682539682</v>
      </c>
    </row>
    <row r="38" spans="1:4">
      <c r="A38" t="s">
        <v>252</v>
      </c>
      <c r="B38">
        <f>B39*0.25</f>
        <v>0.81168831168831168</v>
      </c>
    </row>
    <row r="39" spans="1:4">
      <c r="A39" t="s">
        <v>222</v>
      </c>
      <c r="B39">
        <f>B41/B33</f>
        <v>3.2467532467532467</v>
      </c>
    </row>
    <row r="40" spans="1:4">
      <c r="A40" t="s">
        <v>284</v>
      </c>
      <c r="B40">
        <f>750/2.2</f>
        <v>340.90909090909088</v>
      </c>
      <c r="C40" t="s">
        <v>286</v>
      </c>
      <c r="D40" t="s">
        <v>285</v>
      </c>
    </row>
    <row r="41" spans="1:4">
      <c r="A41" t="s">
        <v>251</v>
      </c>
      <c r="B41">
        <f>B40*B35</f>
        <v>38449.429358520261</v>
      </c>
    </row>
    <row r="42" spans="1:4">
      <c r="A42" t="s">
        <v>292</v>
      </c>
      <c r="C42">
        <v>0</v>
      </c>
    </row>
    <row r="43" spans="1:4">
      <c r="A43" t="s">
        <v>253</v>
      </c>
      <c r="B43">
        <f>(B41-C42)*B14</f>
        <v>3844.9429358520265</v>
      </c>
    </row>
    <row r="44" spans="1:4">
      <c r="A44" t="s">
        <v>411</v>
      </c>
      <c r="B44">
        <f>B41-C42</f>
        <v>38449.429358520261</v>
      </c>
    </row>
    <row r="46" spans="1:4">
      <c r="A46" t="s">
        <v>538</v>
      </c>
    </row>
    <row r="48" spans="1:4">
      <c r="A48" t="s">
        <v>281</v>
      </c>
      <c r="B48">
        <f>Agriculture!D15*B18</f>
        <v>181673.55371900823</v>
      </c>
      <c r="D48" t="s">
        <v>539</v>
      </c>
    </row>
    <row r="49" spans="1:3">
      <c r="A49" t="s">
        <v>245</v>
      </c>
      <c r="B49">
        <v>0.75</v>
      </c>
    </row>
    <row r="50" spans="1:3">
      <c r="A50" t="s">
        <v>246</v>
      </c>
      <c r="B50">
        <f>B48/B49</f>
        <v>242231.40495867762</v>
      </c>
    </row>
    <row r="51" spans="1:3">
      <c r="A51" t="s">
        <v>282</v>
      </c>
      <c r="B51">
        <v>105</v>
      </c>
    </row>
    <row r="52" spans="1:3">
      <c r="A52" t="s">
        <v>283</v>
      </c>
      <c r="B52">
        <f>B50/B51</f>
        <v>2306.9657615112155</v>
      </c>
    </row>
    <row r="53" spans="1:3">
      <c r="A53" t="s">
        <v>294</v>
      </c>
      <c r="B53">
        <v>4</v>
      </c>
    </row>
    <row r="54" spans="1:3">
      <c r="A54" t="s">
        <v>295</v>
      </c>
      <c r="B54">
        <f>B52*B53*11</f>
        <v>101506.49350649348</v>
      </c>
    </row>
    <row r="55" spans="1:3">
      <c r="A55" t="s">
        <v>252</v>
      </c>
      <c r="B55">
        <f>B56*0.25</f>
        <v>0.81168831168831157</v>
      </c>
    </row>
    <row r="56" spans="1:3">
      <c r="A56" t="s">
        <v>222</v>
      </c>
      <c r="B56">
        <f>B58/B50</f>
        <v>3.2467532467532463</v>
      </c>
    </row>
    <row r="57" spans="1:3">
      <c r="A57" t="s">
        <v>284</v>
      </c>
      <c r="B57">
        <f>750/2.2</f>
        <v>340.90909090909088</v>
      </c>
      <c r="C57" t="s">
        <v>540</v>
      </c>
    </row>
    <row r="58" spans="1:3">
      <c r="A58" t="s">
        <v>251</v>
      </c>
      <c r="B58">
        <f>B57*B52</f>
        <v>786465.60051518702</v>
      </c>
    </row>
    <row r="59" spans="1:3">
      <c r="A59" t="s">
        <v>253</v>
      </c>
      <c r="B59">
        <f>B58*0.75</f>
        <v>589849.20038639032</v>
      </c>
    </row>
    <row r="60" spans="1:3">
      <c r="A60" t="s">
        <v>411</v>
      </c>
      <c r="B60">
        <f>B58-B59</f>
        <v>196616.4001287967</v>
      </c>
    </row>
  </sheetData>
  <pageMargins left="0.7" right="0.7" top="0.75" bottom="0.75" header="0.3" footer="0.3"/>
  <pageSetup orientation="portrait" horizontalDpi="0" verticalDpi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D0D86-477E-CD4E-8E1C-4C6B21809367}">
  <dimension ref="A1:H24"/>
  <sheetViews>
    <sheetView workbookViewId="0"/>
  </sheetViews>
  <sheetFormatPr baseColWidth="10" defaultRowHeight="16"/>
  <cols>
    <col min="1" max="1" width="17.33203125" bestFit="1" customWidth="1"/>
    <col min="7" max="7" width="55.6640625" bestFit="1" customWidth="1"/>
    <col min="8" max="8" width="46.6640625" bestFit="1" customWidth="1"/>
  </cols>
  <sheetData>
    <row r="1" spans="1:8">
      <c r="A1" t="s">
        <v>306</v>
      </c>
    </row>
    <row r="2" spans="1:8">
      <c r="B2" t="s">
        <v>308</v>
      </c>
      <c r="C2" t="s">
        <v>309</v>
      </c>
      <c r="D2" t="s">
        <v>301</v>
      </c>
      <c r="E2" t="s">
        <v>310</v>
      </c>
    </row>
    <row r="3" spans="1:8">
      <c r="A3" t="s">
        <v>307</v>
      </c>
      <c r="B3">
        <v>1240000</v>
      </c>
      <c r="C3" s="62">
        <v>930000000</v>
      </c>
      <c r="D3">
        <v>110</v>
      </c>
      <c r="E3">
        <f>C3/B3</f>
        <v>750</v>
      </c>
      <c r="G3" t="s">
        <v>304</v>
      </c>
      <c r="H3" t="s">
        <v>305</v>
      </c>
    </row>
    <row r="4" spans="1:8">
      <c r="A4" t="s">
        <v>311</v>
      </c>
      <c r="B4">
        <v>217045</v>
      </c>
      <c r="C4">
        <v>40000000</v>
      </c>
      <c r="D4">
        <v>64</v>
      </c>
      <c r="E4">
        <f>C4/B4</f>
        <v>184.29357967241816</v>
      </c>
      <c r="G4" t="s">
        <v>312</v>
      </c>
    </row>
    <row r="5" spans="1:8">
      <c r="A5" t="s">
        <v>314</v>
      </c>
      <c r="B5">
        <v>52000</v>
      </c>
      <c r="D5">
        <v>36</v>
      </c>
    </row>
    <row r="7" spans="1:8">
      <c r="B7">
        <f>222.97</f>
        <v>222.97</v>
      </c>
      <c r="C7">
        <f>74.4*2000/2.2</f>
        <v>67636.363636363632</v>
      </c>
      <c r="D7">
        <v>1</v>
      </c>
      <c r="E7">
        <f>C7/B7</f>
        <v>303.34288754704056</v>
      </c>
      <c r="G7" t="s">
        <v>315</v>
      </c>
    </row>
    <row r="8" spans="1:8">
      <c r="G8" t="s">
        <v>316</v>
      </c>
    </row>
    <row r="11" spans="1:8">
      <c r="D11" t="s">
        <v>867</v>
      </c>
    </row>
    <row r="13" spans="1:8">
      <c r="D13" t="s">
        <v>868</v>
      </c>
      <c r="E13" t="s">
        <v>869</v>
      </c>
      <c r="F13" t="s">
        <v>870</v>
      </c>
      <c r="G13" t="s">
        <v>871</v>
      </c>
    </row>
    <row r="14" spans="1:8">
      <c r="D14">
        <v>355</v>
      </c>
      <c r="E14">
        <v>5</v>
      </c>
      <c r="F14">
        <f>E14/D14</f>
        <v>1.4084507042253521E-2</v>
      </c>
      <c r="G14">
        <f>F14*100</f>
        <v>1.4084507042253522</v>
      </c>
    </row>
    <row r="15" spans="1:8">
      <c r="D15">
        <v>100</v>
      </c>
      <c r="E15">
        <v>5</v>
      </c>
      <c r="F15">
        <f>E15/D15</f>
        <v>0.05</v>
      </c>
      <c r="G15">
        <f>F15*100</f>
        <v>5</v>
      </c>
    </row>
    <row r="16" spans="1:8">
      <c r="D16">
        <v>25</v>
      </c>
      <c r="E16">
        <v>5</v>
      </c>
      <c r="F16">
        <f>E16/D16</f>
        <v>0.2</v>
      </c>
      <c r="G16">
        <f>F16*100</f>
        <v>20</v>
      </c>
    </row>
    <row r="17" spans="4:7">
      <c r="D17">
        <f>E17/F17</f>
        <v>33.333333333333336</v>
      </c>
      <c r="E17">
        <v>5</v>
      </c>
      <c r="F17">
        <f>G17/100</f>
        <v>0.15</v>
      </c>
      <c r="G17">
        <v>15</v>
      </c>
    </row>
    <row r="18" spans="4:7">
      <c r="D18">
        <f>D17/2</f>
        <v>16.666666666666668</v>
      </c>
    </row>
    <row r="20" spans="4:7">
      <c r="D20" t="s">
        <v>566</v>
      </c>
      <c r="E20" s="73">
        <f>1260/1.107</f>
        <v>1138.2113821138212</v>
      </c>
      <c r="F20" t="s">
        <v>567</v>
      </c>
      <c r="G20" s="74">
        <f>Vehicle!B83*E20</f>
        <v>2338646096.5013041</v>
      </c>
    </row>
    <row r="21" spans="4:7">
      <c r="D21" t="s">
        <v>569</v>
      </c>
      <c r="E21">
        <f>314*10</f>
        <v>3140</v>
      </c>
      <c r="F21" t="s">
        <v>567</v>
      </c>
      <c r="G21" s="74">
        <f>Vehicle!B84*E21</f>
        <v>193549691869.4429</v>
      </c>
    </row>
    <row r="22" spans="4:7">
      <c r="D22" t="s">
        <v>570</v>
      </c>
      <c r="E22">
        <f>164*2</f>
        <v>328</v>
      </c>
      <c r="F22" t="s">
        <v>567</v>
      </c>
      <c r="G22" s="74">
        <f>Vehicle!B84*Buildings!E22</f>
        <v>20217929596.553272</v>
      </c>
    </row>
    <row r="24" spans="4:7">
      <c r="D24" t="s">
        <v>568</v>
      </c>
      <c r="E24">
        <f>0.04*2.2</f>
        <v>8.8000000000000009E-2</v>
      </c>
      <c r="F24" t="s">
        <v>567</v>
      </c>
      <c r="G24" s="74">
        <f>Vehicle!B71*Buildings!E24</f>
        <v>18467090.449095488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35416-020F-0944-9A66-25BCA98D2542}">
  <dimension ref="A1:O107"/>
  <sheetViews>
    <sheetView workbookViewId="0">
      <selection activeCell="B10" sqref="B10"/>
    </sheetView>
  </sheetViews>
  <sheetFormatPr baseColWidth="10" defaultRowHeight="16"/>
  <cols>
    <col min="1" max="1" width="19" bestFit="1" customWidth="1"/>
    <col min="2" max="2" width="20.6640625" customWidth="1"/>
    <col min="3" max="3" width="14.1640625" bestFit="1" customWidth="1"/>
    <col min="4" max="4" width="12.1640625" bestFit="1" customWidth="1"/>
    <col min="5" max="5" width="11.6640625" bestFit="1" customWidth="1"/>
    <col min="6" max="6" width="12.83203125" bestFit="1" customWidth="1"/>
    <col min="8" max="8" width="13.6640625" customWidth="1"/>
    <col min="9" max="9" width="12.1640625" bestFit="1" customWidth="1"/>
  </cols>
  <sheetData>
    <row r="1" spans="1:6">
      <c r="A1" t="s">
        <v>87</v>
      </c>
      <c r="B1" s="84">
        <v>2000</v>
      </c>
      <c r="E1" s="5"/>
    </row>
    <row r="2" spans="1:6">
      <c r="A2" t="s">
        <v>333</v>
      </c>
      <c r="B2" s="55">
        <v>1</v>
      </c>
      <c r="E2" s="63"/>
    </row>
    <row r="3" spans="1:6">
      <c r="A3" t="s">
        <v>815</v>
      </c>
      <c r="B3" s="55" t="s">
        <v>818</v>
      </c>
      <c r="C3" t="str">
        <f>LOOKUP(B3,Population!L9:L12,Population!M9:M12)</f>
        <v>Crew composed of existing professionals. Middle aged crew, most married, some children, skews male</v>
      </c>
      <c r="E3" s="63"/>
    </row>
    <row r="4" spans="1:6">
      <c r="A4" t="s">
        <v>712</v>
      </c>
      <c r="B4" s="49">
        <f>B29/B2*Geometry!C16*0.91</f>
        <v>80069031.41492866</v>
      </c>
      <c r="C4" s="65"/>
      <c r="D4" s="39"/>
    </row>
    <row r="5" spans="1:6">
      <c r="A5" s="96" t="s">
        <v>730</v>
      </c>
      <c r="B5" s="95">
        <f>CEILING(POWER(B4*3/(4*PI()),1/3),2.5)*4</f>
        <v>1070</v>
      </c>
      <c r="D5" s="39"/>
    </row>
    <row r="6" spans="1:6">
      <c r="A6" s="97"/>
      <c r="B6" s="98"/>
      <c r="C6" s="68"/>
    </row>
    <row r="7" spans="1:6">
      <c r="A7" s="97" t="s">
        <v>849</v>
      </c>
      <c r="B7" s="98">
        <f>B9*0.4</f>
        <v>200</v>
      </c>
      <c r="C7" s="68">
        <v>25</v>
      </c>
    </row>
    <row r="8" spans="1:6">
      <c r="A8" s="97" t="s">
        <v>904</v>
      </c>
      <c r="B8" s="98">
        <v>500</v>
      </c>
      <c r="C8" s="68"/>
    </row>
    <row r="9" spans="1:6" ht="17" thickBot="1">
      <c r="A9" t="s">
        <v>345</v>
      </c>
      <c r="B9" s="64">
        <v>500</v>
      </c>
      <c r="C9">
        <f>B9*2</f>
        <v>1000</v>
      </c>
      <c r="D9">
        <f>B9*2*PI()</f>
        <v>3141.5926535897929</v>
      </c>
      <c r="E9" s="15">
        <f>D49</f>
        <v>145.43731805995841</v>
      </c>
      <c r="F9" s="4">
        <f>B74</f>
        <v>114.024830662719</v>
      </c>
    </row>
    <row r="10" spans="1:6">
      <c r="A10" s="110" t="s">
        <v>138</v>
      </c>
      <c r="B10" s="111" t="s">
        <v>772</v>
      </c>
      <c r="C10" s="112"/>
      <c r="D10" s="112"/>
      <c r="E10" s="113" t="s">
        <v>28</v>
      </c>
      <c r="F10" s="114" t="s">
        <v>30</v>
      </c>
    </row>
    <row r="11" spans="1:6">
      <c r="A11" s="115" t="s">
        <v>8</v>
      </c>
      <c r="B11" s="116">
        <v>0</v>
      </c>
      <c r="C11" s="117"/>
      <c r="D11" s="117"/>
      <c r="E11" s="118">
        <v>34</v>
      </c>
      <c r="F11" s="119">
        <v>100</v>
      </c>
    </row>
    <row r="12" spans="1:6">
      <c r="A12" s="115" t="s">
        <v>803</v>
      </c>
      <c r="B12" s="120">
        <f>LOOKUP(B11,'Population Model'!$A$3:$A$100,'Population Model'!$B$3:$B$100)</f>
        <v>541</v>
      </c>
      <c r="C12" s="120"/>
      <c r="D12" s="120"/>
      <c r="E12" s="117">
        <f>Population!B3</f>
        <v>1954</v>
      </c>
      <c r="F12" s="121">
        <f>LOOKUP(F11,'Population Model'!$A$3:$A$100,'Population Model'!$B$3:$B$100)</f>
        <v>1951</v>
      </c>
    </row>
    <row r="13" spans="1:6" ht="17" thickBot="1">
      <c r="A13" s="122" t="s">
        <v>802</v>
      </c>
      <c r="B13" s="123">
        <f>LOOKUP(B11,'Population Model'!$A$3:$A$100,'Population Model'!$C$3:$C$100)</f>
        <v>402</v>
      </c>
      <c r="C13" s="123"/>
      <c r="D13" s="123"/>
      <c r="E13" s="123">
        <f>LOOKUP(E11,'Population Model'!$A$3:$A$100,'Population Model'!$C$3:$C$100)</f>
        <v>746</v>
      </c>
      <c r="F13" s="124">
        <f>LOOKUP(F11,'Population Model'!$A$3:$A$100,'Population Model'!$C$3:$C$100)</f>
        <v>771</v>
      </c>
    </row>
    <row r="15" spans="1:6">
      <c r="A15" t="s">
        <v>700</v>
      </c>
      <c r="B15" s="17">
        <f>Population!C22</f>
        <v>766.80076396174888</v>
      </c>
      <c r="C15">
        <v>500</v>
      </c>
    </row>
    <row r="16" spans="1:6">
      <c r="A16" t="s">
        <v>701</v>
      </c>
      <c r="B16" s="17">
        <f>Population!C24</f>
        <v>207</v>
      </c>
      <c r="C16">
        <v>1000</v>
      </c>
    </row>
    <row r="17" spans="1:12">
      <c r="A17" t="s">
        <v>940</v>
      </c>
      <c r="B17" s="17"/>
      <c r="C17" s="65">
        <f>B44</f>
        <v>59297589.086507343</v>
      </c>
    </row>
    <row r="18" spans="1:12">
      <c r="A18" t="s">
        <v>692</v>
      </c>
      <c r="B18" s="17" t="s">
        <v>693</v>
      </c>
      <c r="C18" t="s">
        <v>694</v>
      </c>
      <c r="D18" t="s">
        <v>702</v>
      </c>
      <c r="E18" t="s">
        <v>22</v>
      </c>
      <c r="F18" t="s">
        <v>703</v>
      </c>
      <c r="I18" t="s">
        <v>334</v>
      </c>
    </row>
    <row r="19" spans="1:12">
      <c r="A19" t="s">
        <v>133</v>
      </c>
      <c r="B19" s="17">
        <f>Cattle!C11</f>
        <v>148750</v>
      </c>
    </row>
    <row r="20" spans="1:12">
      <c r="A20" t="s">
        <v>134</v>
      </c>
      <c r="B20" s="17">
        <f>Agriculture!C45*0.75</f>
        <v>9521972.412343489</v>
      </c>
    </row>
    <row r="21" spans="1:12">
      <c r="A21" t="s">
        <v>851</v>
      </c>
      <c r="B21" s="17">
        <f>Agriculture!C42</f>
        <v>4374334.2301184833</v>
      </c>
      <c r="C21">
        <f>Geometry!C23*$B$2</f>
        <v>3470646.4012963609</v>
      </c>
      <c r="D21" s="39">
        <f>C21/B21</f>
        <v>0.79341134415381764</v>
      </c>
      <c r="E21" s="4">
        <f>C21*Conversion!$F$18</f>
        <v>857.63143222434371</v>
      </c>
      <c r="F21" s="43">
        <f t="shared" ref="F21:F27" si="0">E21/$B$1</f>
        <v>0.42881571611217184</v>
      </c>
      <c r="G21">
        <v>4</v>
      </c>
      <c r="H21" s="137">
        <f>B21/$B$29/4*G21</f>
        <v>0.2485757651281916</v>
      </c>
      <c r="I21" s="24">
        <f t="shared" ref="I21:I27" si="1">IF(G21&gt;1,C21*G21*5/($C$17*5),C21*G21*5/($C$17*5)*4)</f>
        <v>0.23411720137445363</v>
      </c>
      <c r="J21" s="138">
        <f>I21+I22</f>
        <v>0.70764795000741876</v>
      </c>
      <c r="K21" s="138">
        <f>I21+I24+I28</f>
        <v>0.25145500226372641</v>
      </c>
      <c r="L21">
        <f>SUM(C21:C27)</f>
        <v>13198715.980459096</v>
      </c>
    </row>
    <row r="22" spans="1:12">
      <c r="A22" t="s">
        <v>592</v>
      </c>
      <c r="B22" s="17">
        <f>B19+B20</f>
        <v>9670722.412343489</v>
      </c>
      <c r="C22">
        <f>Geometry!C22*$B$2</f>
        <v>7019807.9380659414</v>
      </c>
      <c r="D22" s="39">
        <f>C22/B22</f>
        <v>0.72588247689810836</v>
      </c>
      <c r="E22" s="4">
        <f>C22*Conversion!$F$18</f>
        <v>1734.6647395754746</v>
      </c>
      <c r="F22" s="43">
        <f t="shared" si="0"/>
        <v>0.86733236978773731</v>
      </c>
      <c r="G22">
        <v>1</v>
      </c>
      <c r="H22" s="137">
        <f t="shared" ref="H22:H27" si="2">B22/$B$29/4*G22</f>
        <v>0.13738703403360661</v>
      </c>
      <c r="I22" s="24">
        <f t="shared" si="1"/>
        <v>0.47353074863296513</v>
      </c>
      <c r="L22">
        <f>L21/4046.85642</f>
        <v>3261.4737491623428</v>
      </c>
    </row>
    <row r="23" spans="1:12">
      <c r="A23" t="s">
        <v>135</v>
      </c>
      <c r="B23" s="17">
        <f>B15*C15+B16*C16</f>
        <v>590400.38198087446</v>
      </c>
      <c r="C23">
        <f>Geometry!C21*$B$2</f>
        <v>447428.446228054</v>
      </c>
      <c r="D23" s="39">
        <f t="shared" ref="D23:D25" si="3">C23/B23</f>
        <v>0.75783901888218641</v>
      </c>
      <c r="E23" s="4">
        <f>C23*Conversion!$F$18</f>
        <v>110.56404334741441</v>
      </c>
      <c r="F23" s="43">
        <f t="shared" si="0"/>
        <v>5.5282021673707209E-2</v>
      </c>
      <c r="G23">
        <v>1</v>
      </c>
      <c r="H23" s="137">
        <f t="shared" si="2"/>
        <v>8.3875179034328916E-3</v>
      </c>
      <c r="I23" s="24">
        <f t="shared" si="1"/>
        <v>3.01818979908485E-2</v>
      </c>
    </row>
    <row r="24" spans="1:12">
      <c r="A24" t="s">
        <v>691</v>
      </c>
      <c r="B24" s="17">
        <f>B1*40*Conversion!E15/1000</f>
        <v>323748.51360000001</v>
      </c>
      <c r="C24">
        <f>Geometry!C20*$B$2</f>
        <v>257022.44819894512</v>
      </c>
      <c r="D24" s="39">
        <f>C24/B24</f>
        <v>0.79389537681863542</v>
      </c>
      <c r="E24" s="4">
        <f>C24*Conversion!$F$18</f>
        <v>63.512817174441324</v>
      </c>
      <c r="F24" s="43">
        <f t="shared" si="0"/>
        <v>3.1756408587220661E-2</v>
      </c>
      <c r="G24">
        <v>4</v>
      </c>
      <c r="H24" s="137">
        <f t="shared" si="2"/>
        <v>1.8397321796568562E-2</v>
      </c>
      <c r="I24" s="24">
        <f t="shared" si="1"/>
        <v>1.7337800889272805E-2</v>
      </c>
    </row>
    <row r="25" spans="1:12">
      <c r="A25" t="s">
        <v>872</v>
      </c>
      <c r="B25" s="17">
        <f>(B52+B54+Agriculture!E40)/1000/2</f>
        <v>2027758.7839194976</v>
      </c>
      <c r="C25">
        <f>Geometry!C24*$B$2</f>
        <v>1536714.8937217421</v>
      </c>
      <c r="D25" s="39">
        <f t="shared" si="3"/>
        <v>0.75783910093654905</v>
      </c>
      <c r="E25" s="4">
        <f>C25*Conversion!$F$18</f>
        <v>379.73761738757969</v>
      </c>
      <c r="F25" s="43">
        <f t="shared" si="0"/>
        <v>0.18986880869378983</v>
      </c>
      <c r="G25">
        <v>1</v>
      </c>
      <c r="H25" s="137">
        <f t="shared" si="2"/>
        <v>2.8807337567947323E-2</v>
      </c>
      <c r="I25" s="24">
        <f t="shared" si="1"/>
        <v>0.1036612056169689</v>
      </c>
    </row>
    <row r="26" spans="1:12">
      <c r="A26" t="s">
        <v>936</v>
      </c>
      <c r="B26" s="17">
        <f>E12*250</f>
        <v>488500</v>
      </c>
      <c r="C26">
        <f>Geometry!C25*$B$2</f>
        <v>370204.36072394811</v>
      </c>
      <c r="D26" s="39">
        <f>C26/B26</f>
        <v>0.75783901888218652</v>
      </c>
      <c r="E26" s="4">
        <f>C26*Conversion!$F$18</f>
        <v>91.48119957849481</v>
      </c>
      <c r="F26" s="43">
        <f t="shared" si="0"/>
        <v>4.5740599789247403E-2</v>
      </c>
      <c r="G26">
        <v>1</v>
      </c>
      <c r="H26" s="137">
        <f t="shared" si="2"/>
        <v>6.9398710110585536E-3</v>
      </c>
      <c r="I26" s="24">
        <f t="shared" si="1"/>
        <v>2.4972641648810974E-2</v>
      </c>
    </row>
    <row r="27" spans="1:12">
      <c r="A27" t="s">
        <v>937</v>
      </c>
      <c r="B27" s="17">
        <f>B26*0.25</f>
        <v>122125</v>
      </c>
      <c r="C27">
        <f>Geometry!C26*$B$2</f>
        <v>96891.492224104717</v>
      </c>
      <c r="D27" s="39">
        <f t="shared" ref="D27" si="4">C27/B27</f>
        <v>0.7933796702076128</v>
      </c>
      <c r="E27" s="4">
        <f>C27*Conversion!$F$18</f>
        <v>23.942856643498516</v>
      </c>
      <c r="F27" s="43">
        <f t="shared" si="0"/>
        <v>1.1971428321749258E-2</v>
      </c>
      <c r="G27">
        <v>4</v>
      </c>
      <c r="H27" s="137">
        <f t="shared" si="2"/>
        <v>6.9398710110585536E-3</v>
      </c>
      <c r="I27" s="24">
        <f t="shared" si="1"/>
        <v>6.5359481703549755E-3</v>
      </c>
    </row>
    <row r="28" spans="1:12">
      <c r="B28" s="17"/>
      <c r="D28" s="3"/>
    </row>
    <row r="29" spans="1:12">
      <c r="A29" t="s">
        <v>137</v>
      </c>
      <c r="B29" s="45">
        <f>SUM(B21:B27)</f>
        <v>17597589.321962342</v>
      </c>
      <c r="C29" s="3">
        <f>SUM(C21:C27)</f>
        <v>13198715.980459096</v>
      </c>
      <c r="D29" s="39">
        <f>C29/B29</f>
        <v>0.75002977618000699</v>
      </c>
      <c r="E29" t="s">
        <v>204</v>
      </c>
      <c r="F29">
        <f>B33/B1</f>
        <v>1.6307368745811714</v>
      </c>
      <c r="H29" s="92">
        <f>SUM(H21:H26)</f>
        <v>0.44849484744080553</v>
      </c>
      <c r="I29" s="92">
        <f>SUM(I21:I27)</f>
        <v>0.8903374443236749</v>
      </c>
    </row>
    <row r="30" spans="1:12">
      <c r="A30" t="s">
        <v>10</v>
      </c>
      <c r="B30" s="88">
        <f>B44</f>
        <v>59297589.086507343</v>
      </c>
      <c r="D30" t="s">
        <v>12</v>
      </c>
      <c r="E30">
        <f>19000*6000</f>
        <v>114000000</v>
      </c>
      <c r="F30" s="22">
        <f>E30/B30</f>
        <v>1.9225064923582149</v>
      </c>
      <c r="I30" s="92"/>
      <c r="J30" s="3"/>
    </row>
    <row r="31" spans="1:12">
      <c r="B31" s="89">
        <f>C29/1000000</f>
        <v>13.198715980459095</v>
      </c>
      <c r="D31" t="s">
        <v>20</v>
      </c>
    </row>
    <row r="32" spans="1:12">
      <c r="B32" s="90">
        <f>C29/5400</f>
        <v>2444.2066630479808</v>
      </c>
      <c r="D32" t="s">
        <v>21</v>
      </c>
      <c r="H32">
        <f>750/0.26</f>
        <v>2884.6153846153843</v>
      </c>
    </row>
    <row r="33" spans="1:9">
      <c r="B33" s="90">
        <f>C29/4046.85642</f>
        <v>3261.4737491623428</v>
      </c>
      <c r="D33" t="s">
        <v>22</v>
      </c>
      <c r="G33">
        <v>109.72799999999999</v>
      </c>
      <c r="H33">
        <f>G33/H32</f>
        <v>3.8039040000000003E-2</v>
      </c>
    </row>
    <row r="34" spans="1:9">
      <c r="B34" s="17">
        <f>C29*Conversion!G18</f>
        <v>5.0960242400552564</v>
      </c>
      <c r="C34" t="s">
        <v>23</v>
      </c>
    </row>
    <row r="35" spans="1:9">
      <c r="A35" t="s">
        <v>255</v>
      </c>
      <c r="B35" s="90">
        <f>B1/(180)</f>
        <v>11.111111111111111</v>
      </c>
      <c r="C35" t="s">
        <v>23</v>
      </c>
    </row>
    <row r="36" spans="1:9">
      <c r="E36" s="7"/>
    </row>
    <row r="37" spans="1:9">
      <c r="A37" t="s">
        <v>344</v>
      </c>
      <c r="B37" s="64">
        <f>Geometry!E44</f>
        <v>125</v>
      </c>
      <c r="C37">
        <f>B9/B37</f>
        <v>4</v>
      </c>
      <c r="D37">
        <f>B37*2</f>
        <v>250</v>
      </c>
      <c r="E37" s="63"/>
    </row>
    <row r="38" spans="1:9">
      <c r="A38" t="s">
        <v>338</v>
      </c>
      <c r="B38" s="47">
        <f>Geometry!C19</f>
        <v>59297589.086507343</v>
      </c>
      <c r="C38" s="4">
        <f>B38*Conversion!F18</f>
        <v>14653.027239166828</v>
      </c>
      <c r="E38" s="15"/>
      <c r="G38" s="4"/>
      <c r="I38" s="4"/>
    </row>
    <row r="39" spans="1:9">
      <c r="A39" t="s">
        <v>342</v>
      </c>
      <c r="B39" s="52">
        <f>Geometry!E42</f>
        <v>51</v>
      </c>
      <c r="E39" s="15"/>
      <c r="G39" s="4"/>
      <c r="I39" s="4"/>
    </row>
    <row r="40" spans="1:9">
      <c r="A40" t="s">
        <v>337</v>
      </c>
      <c r="B40" s="47">
        <f>Geometry!E49</f>
        <v>196349.54084936206</v>
      </c>
      <c r="E40" s="15"/>
      <c r="G40" s="4"/>
    </row>
    <row r="41" spans="1:9">
      <c r="A41" t="s">
        <v>339</v>
      </c>
      <c r="B41" s="47">
        <f>Geometry!E50</f>
        <v>8181230.8687234195</v>
      </c>
      <c r="E41" s="7"/>
      <c r="I41" s="54"/>
    </row>
    <row r="42" spans="1:9">
      <c r="A42" t="s">
        <v>340</v>
      </c>
      <c r="B42" s="47">
        <f>Geometry!E52</f>
        <v>1963495408.4936206</v>
      </c>
      <c r="E42" s="7"/>
      <c r="G42" s="54"/>
    </row>
    <row r="43" spans="1:9">
      <c r="A43" t="s">
        <v>360</v>
      </c>
      <c r="B43" s="47">
        <f>B41*B58</f>
        <v>1468908825.1562746</v>
      </c>
      <c r="E43" s="7"/>
      <c r="G43" s="54"/>
    </row>
    <row r="44" spans="1:9">
      <c r="A44" t="s">
        <v>343</v>
      </c>
      <c r="B44" s="47">
        <f>B38*B2</f>
        <v>59297589.086507343</v>
      </c>
      <c r="E44" s="7"/>
      <c r="G44" s="54"/>
    </row>
    <row r="45" spans="1:9">
      <c r="F45" s="4"/>
    </row>
    <row r="46" spans="1:9">
      <c r="A46" t="s">
        <v>276</v>
      </c>
      <c r="B46" s="45">
        <f>Agriculture!C47</f>
        <v>9309187.1253169421</v>
      </c>
    </row>
    <row r="47" spans="1:9">
      <c r="A47" t="s">
        <v>16</v>
      </c>
      <c r="B47" s="45">
        <f>Agriculture!C47*(Conversion!B10*(1-D47))</f>
        <v>3956404528.2597003</v>
      </c>
      <c r="C47" t="s">
        <v>43</v>
      </c>
      <c r="D47">
        <v>0.75</v>
      </c>
      <c r="E47" t="s">
        <v>141</v>
      </c>
      <c r="F47" s="3">
        <f>Conversion!$D$32</f>
        <v>73155600</v>
      </c>
      <c r="G47" t="s">
        <v>861</v>
      </c>
    </row>
    <row r="48" spans="1:9">
      <c r="B48" s="3"/>
    </row>
    <row r="49" spans="1:10">
      <c r="A49" t="s">
        <v>18</v>
      </c>
      <c r="B49" s="45">
        <f>D50+B56+B54+B53*B1+D52+D51</f>
        <v>10639554265.067093</v>
      </c>
      <c r="C49" t="s">
        <v>43</v>
      </c>
      <c r="D49" s="4">
        <f>B49/$F$47</f>
        <v>145.43731805995841</v>
      </c>
      <c r="E49" t="s">
        <v>860</v>
      </c>
      <c r="F49" s="3"/>
    </row>
    <row r="50" spans="1:10">
      <c r="A50" t="s">
        <v>57</v>
      </c>
      <c r="B50" s="59">
        <v>98100000000</v>
      </c>
      <c r="C50" t="s">
        <v>43</v>
      </c>
      <c r="D50" s="58">
        <f>SUM(B65:B72)</f>
        <v>8341554902.0296059</v>
      </c>
      <c r="E50" t="s">
        <v>43</v>
      </c>
      <c r="F50" s="5">
        <f>D50/$F$47</f>
        <v>114.024830662719</v>
      </c>
      <c r="G50" t="str">
        <f>$G$47</f>
        <v>Musashi Class Battleship</v>
      </c>
    </row>
    <row r="51" spans="1:10">
      <c r="A51" t="s">
        <v>56</v>
      </c>
      <c r="B51" s="59">
        <v>0</v>
      </c>
      <c r="D51" s="58">
        <f>D89</f>
        <v>14327213.640617138</v>
      </c>
      <c r="E51" s="3" t="s">
        <v>43</v>
      </c>
      <c r="F51" s="5">
        <f t="shared" ref="F51:F52" si="5">D51/$F$47</f>
        <v>0.19584575399035942</v>
      </c>
      <c r="G51" t="str">
        <f>$G$47</f>
        <v>Musashi Class Battleship</v>
      </c>
      <c r="H51" s="3" t="s">
        <v>878</v>
      </c>
      <c r="J51" s="4"/>
    </row>
    <row r="52" spans="1:10">
      <c r="A52" t="s">
        <v>638</v>
      </c>
      <c r="B52" s="59">
        <v>4000000000</v>
      </c>
      <c r="D52" s="45">
        <f>B71*0.25+(B55+B65+B66)*B55</f>
        <v>1233672149.3968701</v>
      </c>
      <c r="E52" s="3" t="s">
        <v>43</v>
      </c>
      <c r="F52" s="5">
        <f t="shared" si="5"/>
        <v>16.863673449426567</v>
      </c>
      <c r="G52" t="str">
        <f>$G$47</f>
        <v>Musashi Class Battleship</v>
      </c>
    </row>
    <row r="53" spans="1:10">
      <c r="A53" t="s">
        <v>318</v>
      </c>
      <c r="B53" s="59">
        <v>5000</v>
      </c>
      <c r="E53" s="3"/>
    </row>
    <row r="54" spans="1:10">
      <c r="A54" t="s">
        <v>231</v>
      </c>
      <c r="B54" s="47">
        <f>B1*20000</f>
        <v>40000000</v>
      </c>
      <c r="E54" s="3"/>
    </row>
    <row r="55" spans="1:10">
      <c r="A55" t="s">
        <v>588</v>
      </c>
      <c r="B55" s="47">
        <v>10</v>
      </c>
      <c r="E55" s="3"/>
    </row>
    <row r="56" spans="1:10">
      <c r="A56" t="s">
        <v>120</v>
      </c>
      <c r="B56" s="47">
        <v>1000000000</v>
      </c>
      <c r="E56" t="s">
        <v>781</v>
      </c>
    </row>
    <row r="57" spans="1:10">
      <c r="B57" s="55">
        <f>3220/(390*55*30)</f>
        <v>5.0038850038850039E-3</v>
      </c>
      <c r="C57" t="s">
        <v>353</v>
      </c>
    </row>
    <row r="58" spans="1:10">
      <c r="A58" t="s">
        <v>200</v>
      </c>
      <c r="B58" s="55">
        <f>B57*1016.04691/0.0283168466</f>
        <v>179.54618916474604</v>
      </c>
    </row>
    <row r="59" spans="1:10">
      <c r="A59" t="s">
        <v>303</v>
      </c>
      <c r="B59" s="55">
        <v>310</v>
      </c>
      <c r="E59" t="s">
        <v>317</v>
      </c>
      <c r="F59" s="62" t="s">
        <v>315</v>
      </c>
    </row>
    <row r="60" spans="1:10">
      <c r="A60" t="s">
        <v>320</v>
      </c>
      <c r="B60" s="55">
        <v>10000</v>
      </c>
      <c r="C60" t="s">
        <v>310</v>
      </c>
      <c r="F60" t="s">
        <v>321</v>
      </c>
    </row>
    <row r="61" spans="1:10">
      <c r="B61" s="55"/>
      <c r="E61" t="s">
        <v>325</v>
      </c>
      <c r="F61" t="s">
        <v>324</v>
      </c>
    </row>
    <row r="62" spans="1:10">
      <c r="B62" s="45">
        <f>SUM(B50:B56)</f>
        <v>103140005010</v>
      </c>
      <c r="C62" t="s">
        <v>43</v>
      </c>
      <c r="E62" s="3"/>
    </row>
    <row r="63" spans="1:10">
      <c r="A63" t="s">
        <v>47</v>
      </c>
      <c r="B63" s="45">
        <v>0</v>
      </c>
      <c r="C63" t="s">
        <v>875</v>
      </c>
      <c r="E63" t="s">
        <v>54</v>
      </c>
    </row>
    <row r="64" spans="1:10">
      <c r="A64" t="s">
        <v>142</v>
      </c>
      <c r="B64" s="49">
        <v>1000</v>
      </c>
    </row>
    <row r="65" spans="1:6">
      <c r="A65" t="s">
        <v>17</v>
      </c>
      <c r="B65" s="45">
        <f>B63/B64*3</f>
        <v>0</v>
      </c>
      <c r="C65" t="s">
        <v>43</v>
      </c>
      <c r="E65" t="s">
        <v>53</v>
      </c>
      <c r="F65" t="s">
        <v>50</v>
      </c>
    </row>
    <row r="66" spans="1:6">
      <c r="A66" t="s">
        <v>143</v>
      </c>
      <c r="B66" s="45">
        <f>'Power Consumption'!C43</f>
        <v>118120872.42573942</v>
      </c>
      <c r="C66" t="s">
        <v>43</v>
      </c>
      <c r="D66" s="3" t="e">
        <f>B66/B65</f>
        <v>#DIV/0!</v>
      </c>
      <c r="E66" s="71">
        <f>B66/12</f>
        <v>9843406.0354782846</v>
      </c>
    </row>
    <row r="67" spans="1:6">
      <c r="A67" t="s">
        <v>313</v>
      </c>
      <c r="B67" s="45">
        <f>B47</f>
        <v>3956404528.2597003</v>
      </c>
    </row>
    <row r="68" spans="1:6">
      <c r="A68" t="s">
        <v>322</v>
      </c>
      <c r="B68" s="45">
        <f>B41*B2*Conversion!B9*0.9</f>
        <v>9019807.0327675715</v>
      </c>
      <c r="C68" t="s">
        <v>43</v>
      </c>
      <c r="E68" t="s">
        <v>323</v>
      </c>
    </row>
    <row r="69" spans="1:6">
      <c r="A69" t="s">
        <v>319</v>
      </c>
      <c r="B69" s="45">
        <f>B42*B2</f>
        <v>1963495408.4936206</v>
      </c>
      <c r="C69" s="3"/>
    </row>
    <row r="70" spans="1:6">
      <c r="A70" t="s">
        <v>361</v>
      </c>
      <c r="B70" s="45">
        <f>B43*B2</f>
        <v>1468908825.1562746</v>
      </c>
      <c r="D70" s="3"/>
      <c r="E70" s="3"/>
    </row>
    <row r="71" spans="1:6">
      <c r="A71" t="s">
        <v>232</v>
      </c>
      <c r="B71" s="45">
        <f>(B50+B51+SUM(B65:B70))*Conversion!B24*3/Conversion!B23</f>
        <v>209853300.55790323</v>
      </c>
      <c r="C71" s="43">
        <f>B71/D50</f>
        <v>2.5157575898330811E-2</v>
      </c>
      <c r="D71" s="43"/>
    </row>
    <row r="72" spans="1:6">
      <c r="A72" t="s">
        <v>571</v>
      </c>
      <c r="B72" s="45">
        <f>Geometry!E66</f>
        <v>615752160.10359931</v>
      </c>
      <c r="C72" s="43"/>
      <c r="D72" s="43"/>
    </row>
    <row r="73" spans="1:6">
      <c r="A73" t="s">
        <v>55</v>
      </c>
      <c r="B73" s="44">
        <f>D50</f>
        <v>8341554902.0296059</v>
      </c>
      <c r="C73" s="11">
        <f>B65/D50</f>
        <v>0</v>
      </c>
      <c r="D73" s="11"/>
    </row>
    <row r="74" spans="1:6">
      <c r="B74" s="57">
        <f>D50/F47</f>
        <v>114.024830662719</v>
      </c>
      <c r="C74" t="str">
        <f>G47</f>
        <v>Musashi Class Battleship</v>
      </c>
    </row>
    <row r="75" spans="1:6">
      <c r="A75" t="s">
        <v>874</v>
      </c>
      <c r="B75" s="45">
        <f>'Power Consumption'!C40/3600000</f>
        <v>7.0167920979368158E-17</v>
      </c>
      <c r="C75" t="s">
        <v>873</v>
      </c>
      <c r="E75" t="s">
        <v>150</v>
      </c>
      <c r="F75" t="s">
        <v>46</v>
      </c>
    </row>
    <row r="77" spans="1:6">
      <c r="A77" t="s">
        <v>147</v>
      </c>
      <c r="B77" s="45">
        <f>'Power Consumption'!C44*'Power Consumption'!C7</f>
        <v>63694696.899710514</v>
      </c>
    </row>
    <row r="78" spans="1:6">
      <c r="A78" t="s">
        <v>146</v>
      </c>
      <c r="B78" s="45">
        <v>0</v>
      </c>
    </row>
    <row r="79" spans="1:6">
      <c r="A79" t="s">
        <v>879</v>
      </c>
      <c r="B79" s="45">
        <v>0</v>
      </c>
    </row>
    <row r="80" spans="1:6">
      <c r="A80" t="s">
        <v>171</v>
      </c>
      <c r="B80" s="45">
        <f>B77+B78</f>
        <v>63694696.899710514</v>
      </c>
      <c r="D80" t="s">
        <v>334</v>
      </c>
    </row>
    <row r="81" spans="1:13">
      <c r="B81" s="45"/>
    </row>
    <row r="82" spans="1:13">
      <c r="A82" t="s">
        <v>820</v>
      </c>
      <c r="B82" s="45" t="s">
        <v>821</v>
      </c>
      <c r="D82" s="23" t="s">
        <v>46</v>
      </c>
    </row>
    <row r="83" spans="1:13">
      <c r="A83" t="s">
        <v>48</v>
      </c>
      <c r="B83" s="3">
        <f>B80*(100/(100+3000))</f>
        <v>2054667.6419261456</v>
      </c>
      <c r="C83" t="s">
        <v>43</v>
      </c>
      <c r="D83">
        <v>2.0141017781100001</v>
      </c>
      <c r="E83" s="3">
        <f>B83/(Conversion!$B$7*D83)</f>
        <v>1.6940234482100242E-18</v>
      </c>
      <c r="F83" t="s">
        <v>170</v>
      </c>
    </row>
    <row r="84" spans="1:13">
      <c r="A84" t="s">
        <v>49</v>
      </c>
      <c r="B84" s="3">
        <f>B80*(3000/(100+3000))</f>
        <v>61640029.257784367</v>
      </c>
      <c r="C84" t="s">
        <v>43</v>
      </c>
      <c r="D84">
        <v>6.0151228873999996</v>
      </c>
      <c r="E84" s="3">
        <f>B84/(Conversion!$B$7*D84)</f>
        <v>1.7016787701944847E-17</v>
      </c>
    </row>
    <row r="85" spans="1:13">
      <c r="A85" t="s">
        <v>822</v>
      </c>
      <c r="B85" s="3"/>
      <c r="D85">
        <v>15.994</v>
      </c>
      <c r="E85" s="3"/>
    </row>
    <row r="86" spans="1:13">
      <c r="A86" t="s">
        <v>824</v>
      </c>
      <c r="B86" s="3"/>
      <c r="D86" s="40">
        <v>12.010999999999999</v>
      </c>
      <c r="E86" s="3"/>
    </row>
    <row r="87" spans="1:13">
      <c r="A87" t="s">
        <v>885</v>
      </c>
      <c r="B87" s="4">
        <f>B9*3</f>
        <v>1500</v>
      </c>
      <c r="D87" s="40"/>
      <c r="E87" s="3"/>
    </row>
    <row r="88" spans="1:13">
      <c r="A88" t="s">
        <v>826</v>
      </c>
      <c r="B88" s="3">
        <f>(B87^2*PI())*1.25</f>
        <v>8835729.3382212929</v>
      </c>
      <c r="C88" t="s">
        <v>12</v>
      </c>
      <c r="D88" s="40">
        <f>SQRT(B88/PI())</f>
        <v>1677.0509831248423</v>
      </c>
      <c r="E88" s="4">
        <f>D88*2</f>
        <v>3354.1019662496847</v>
      </c>
    </row>
    <row r="89" spans="1:13">
      <c r="A89" t="s">
        <v>877</v>
      </c>
      <c r="B89" s="40">
        <v>795</v>
      </c>
      <c r="C89" t="s">
        <v>200</v>
      </c>
      <c r="D89" s="131">
        <f>E83*(2*D84+D83)*Conversion!B7</f>
        <v>14327213.640617138</v>
      </c>
      <c r="E89" s="3" t="s">
        <v>43</v>
      </c>
      <c r="F89" s="3">
        <f>D89/B89</f>
        <v>18021.652378134764</v>
      </c>
      <c r="G89" t="s">
        <v>825</v>
      </c>
      <c r="H89" s="4">
        <f>F89/$B$88</f>
        <v>2.0396338194943707E-3</v>
      </c>
    </row>
    <row r="90" spans="1:13">
      <c r="B90" s="40"/>
      <c r="D90" s="131"/>
      <c r="E90" s="3"/>
      <c r="F90" s="3"/>
      <c r="H90" s="4"/>
    </row>
    <row r="91" spans="1:13">
      <c r="A91" t="s">
        <v>169</v>
      </c>
      <c r="B91" s="40">
        <v>1107</v>
      </c>
      <c r="C91" t="s">
        <v>200</v>
      </c>
      <c r="D91" s="3">
        <f>E83*(2*D83+D85)*Conversion!B7</f>
        <v>20425469.166522443</v>
      </c>
      <c r="E91" t="s">
        <v>43</v>
      </c>
      <c r="F91" s="3">
        <f>D91/B91</f>
        <v>18451.191659008531</v>
      </c>
      <c r="G91" t="s">
        <v>825</v>
      </c>
      <c r="H91" s="4">
        <f>F91/$B$88</f>
        <v>2.0882477215766449E-3</v>
      </c>
      <c r="K91" t="s">
        <v>884</v>
      </c>
    </row>
    <row r="92" spans="1:13">
      <c r="B92" s="40"/>
      <c r="D92" s="3"/>
      <c r="F92" s="3"/>
      <c r="H92" s="4"/>
    </row>
    <row r="93" spans="1:13">
      <c r="A93" t="s">
        <v>823</v>
      </c>
      <c r="B93" s="40">
        <v>2110</v>
      </c>
      <c r="C93" t="s">
        <v>200</v>
      </c>
      <c r="D93" s="3">
        <f>E84*(D84*2+D85*3+D86)*Conversion!B7</f>
        <v>738058899.19536126</v>
      </c>
      <c r="E93" t="s">
        <v>43</v>
      </c>
      <c r="F93" s="3">
        <f>D93/B93</f>
        <v>349790.94748595322</v>
      </c>
      <c r="G93" t="s">
        <v>825</v>
      </c>
      <c r="H93" s="4">
        <f>F93/$B$88</f>
        <v>3.958823704262189E-2</v>
      </c>
      <c r="M93" t="s">
        <v>876</v>
      </c>
    </row>
    <row r="94" spans="1:13">
      <c r="F94" s="76">
        <f>D91/B69</f>
        <v>1.0402606025034056E-2</v>
      </c>
      <c r="H94" s="4">
        <f>H91+H93</f>
        <v>4.1676484764198538E-2</v>
      </c>
      <c r="K94" t="s">
        <v>865</v>
      </c>
      <c r="L94" t="s">
        <v>864</v>
      </c>
    </row>
    <row r="95" spans="1:13">
      <c r="A95" t="s">
        <v>881</v>
      </c>
      <c r="B95">
        <v>1000</v>
      </c>
      <c r="C95" t="s">
        <v>200</v>
      </c>
      <c r="D95" s="3">
        <f>$B$79</f>
        <v>0</v>
      </c>
      <c r="E95" t="s">
        <v>43</v>
      </c>
      <c r="F95" s="3">
        <f>D95/B95</f>
        <v>0</v>
      </c>
      <c r="G95" t="s">
        <v>825</v>
      </c>
      <c r="H95" s="4">
        <f>F95/$B$88</f>
        <v>0</v>
      </c>
      <c r="I95">
        <f>POWER(3*F95/(4*PI()),1/3)</f>
        <v>0</v>
      </c>
      <c r="J95" s="4">
        <f>I95*2</f>
        <v>0</v>
      </c>
    </row>
    <row r="96" spans="1:13">
      <c r="A96" t="s">
        <v>880</v>
      </c>
      <c r="B96">
        <v>5745</v>
      </c>
      <c r="C96" t="s">
        <v>200</v>
      </c>
      <c r="D96" s="3">
        <f>$B$79</f>
        <v>0</v>
      </c>
      <c r="E96" t="s">
        <v>43</v>
      </c>
      <c r="F96" s="3">
        <f>D96/B96</f>
        <v>0</v>
      </c>
      <c r="G96" t="s">
        <v>825</v>
      </c>
      <c r="H96" s="4">
        <f>F96/$B$88</f>
        <v>0</v>
      </c>
      <c r="I96">
        <f>POWER(3*F96/(4*PI()),1/3)</f>
        <v>0</v>
      </c>
      <c r="J96" s="4">
        <f>I96*2</f>
        <v>0</v>
      </c>
    </row>
    <row r="97" spans="1:15">
      <c r="A97" t="s">
        <v>882</v>
      </c>
      <c r="B97">
        <v>7874</v>
      </c>
      <c r="C97" t="s">
        <v>200</v>
      </c>
      <c r="D97" s="3">
        <f>$B$79</f>
        <v>0</v>
      </c>
      <c r="E97" t="s">
        <v>43</v>
      </c>
      <c r="F97" s="3">
        <f>D97/B97</f>
        <v>0</v>
      </c>
      <c r="G97" t="s">
        <v>825</v>
      </c>
      <c r="H97" s="4">
        <f>F97/$B$88</f>
        <v>0</v>
      </c>
      <c r="I97">
        <f>POWER(3*F97/(4*PI()),1/3)</f>
        <v>0</v>
      </c>
      <c r="J97" s="4">
        <f>I97*2</f>
        <v>0</v>
      </c>
    </row>
    <row r="98" spans="1:15">
      <c r="A98" t="s">
        <v>883</v>
      </c>
      <c r="B98">
        <v>600</v>
      </c>
      <c r="C98" t="s">
        <v>200</v>
      </c>
      <c r="D98" s="3">
        <f>$B$79</f>
        <v>0</v>
      </c>
      <c r="E98" t="s">
        <v>43</v>
      </c>
      <c r="F98" s="3">
        <f>D98/B98</f>
        <v>0</v>
      </c>
      <c r="G98" t="s">
        <v>825</v>
      </c>
      <c r="H98" s="4">
        <f>F98/$B$88</f>
        <v>0</v>
      </c>
      <c r="I98">
        <f>POWER(3*(F98*0.02)/(4*PI()),1/3)</f>
        <v>0</v>
      </c>
      <c r="J98" s="4">
        <f>I98*2</f>
        <v>0</v>
      </c>
      <c r="K98" s="4">
        <f>675+L98</f>
        <v>1350</v>
      </c>
      <c r="L98">
        <v>675</v>
      </c>
      <c r="M98" s="3">
        <f>2*PI()^2*K98*L98^2</f>
        <v>12141463964.165113</v>
      </c>
      <c r="O98">
        <f>L98+675</f>
        <v>1350</v>
      </c>
    </row>
    <row r="99" spans="1:15">
      <c r="H99" s="4"/>
      <c r="M99" s="133" t="e">
        <f>M98/F98</f>
        <v>#DIV/0!</v>
      </c>
      <c r="O99" s="4">
        <f>K98+L98</f>
        <v>2025</v>
      </c>
    </row>
    <row r="100" spans="1:15">
      <c r="A100" t="s">
        <v>172</v>
      </c>
      <c r="B100" s="3">
        <f>D91/B101</f>
        <v>203846997669884.69</v>
      </c>
      <c r="C100" t="s">
        <v>43</v>
      </c>
      <c r="E100" t="s">
        <v>52</v>
      </c>
      <c r="F100" t="s">
        <v>51</v>
      </c>
      <c r="M100" t="e">
        <f>1/M99</f>
        <v>#DIV/0!</v>
      </c>
      <c r="O100" s="4">
        <f>K98-L98</f>
        <v>675</v>
      </c>
    </row>
    <row r="101" spans="1:15">
      <c r="B101" s="3">
        <f>(33.4*3)/1000/1000000</f>
        <v>1.0019999999999998E-7</v>
      </c>
      <c r="E101" t="s">
        <v>173</v>
      </c>
      <c r="F101" t="s">
        <v>168</v>
      </c>
    </row>
    <row r="102" spans="1:15">
      <c r="B102" s="4">
        <f>B100/220000000000000</f>
        <v>0.92657726213583946</v>
      </c>
      <c r="E102" t="s">
        <v>174</v>
      </c>
    </row>
    <row r="103" spans="1:15">
      <c r="B103" s="4"/>
    </row>
    <row r="104" spans="1:15">
      <c r="A104" t="s">
        <v>175</v>
      </c>
      <c r="B104" s="3">
        <f>D91/B105</f>
        <v>611540993009654</v>
      </c>
    </row>
    <row r="105" spans="1:15">
      <c r="B105" s="3">
        <f>(33.4)/1000/1000000</f>
        <v>3.3400000000000001E-8</v>
      </c>
    </row>
    <row r="106" spans="1:15">
      <c r="B106" s="51">
        <f>200000000*1000000000000</f>
        <v>2E+20</v>
      </c>
      <c r="E106" t="s">
        <v>177</v>
      </c>
      <c r="H106">
        <f>188/2</f>
        <v>94</v>
      </c>
      <c r="I106">
        <f>H106*H106*PI()</f>
        <v>27759.112687119414</v>
      </c>
    </row>
    <row r="107" spans="1:15">
      <c r="B107" s="3">
        <f>B104/B106</f>
        <v>3.0577049650482699E-6</v>
      </c>
      <c r="E107" t="s">
        <v>176</v>
      </c>
      <c r="I107">
        <f>I106*120</f>
        <v>3331093.5224543298</v>
      </c>
      <c r="J107" s="4">
        <f>I107/SUM(F91:F93)</f>
        <v>9.045932467666379</v>
      </c>
    </row>
  </sheetData>
  <hyperlinks>
    <hyperlink ref="D82" r:id="rId1" xr:uid="{440F8B25-ECA3-FF40-B914-AC6B05C395EC}"/>
  </hyperlink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EED8CC38-60B7-F145-B437-6B6CCD293042}">
          <x14:formula1>
            <xm:f>Population!$L$3:$L$7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2E0A3-DE4C-BD4F-9029-36C92E1BA4D3}">
  <dimension ref="A1:T13"/>
  <sheetViews>
    <sheetView workbookViewId="0"/>
  </sheetViews>
  <sheetFormatPr baseColWidth="10" defaultRowHeight="16"/>
  <cols>
    <col min="1" max="1" width="27.6640625" bestFit="1" customWidth="1"/>
    <col min="2" max="2" width="10.6640625" bestFit="1" customWidth="1"/>
    <col min="3" max="3" width="9.6640625" bestFit="1" customWidth="1"/>
    <col min="4" max="8" width="27.6640625" customWidth="1"/>
    <col min="10" max="10" width="11.6640625" bestFit="1" customWidth="1"/>
    <col min="11" max="11" width="11.6640625" customWidth="1"/>
    <col min="12" max="12" width="12.6640625" bestFit="1" customWidth="1"/>
    <col min="13" max="13" width="13" customWidth="1"/>
  </cols>
  <sheetData>
    <row r="1" spans="1:20">
      <c r="B1" t="s">
        <v>689</v>
      </c>
      <c r="C1" t="s">
        <v>606</v>
      </c>
    </row>
    <row r="2" spans="1:20">
      <c r="B2" t="s">
        <v>787</v>
      </c>
      <c r="D2" t="s">
        <v>788</v>
      </c>
    </row>
    <row r="3" spans="1:20">
      <c r="A3" t="s">
        <v>683</v>
      </c>
      <c r="B3">
        <f>SUM(H:H)</f>
        <v>1515540.875</v>
      </c>
      <c r="C3">
        <f>CEILING(B3/2000,1)</f>
        <v>758</v>
      </c>
    </row>
    <row r="4" spans="1:20">
      <c r="A4" t="s">
        <v>684</v>
      </c>
      <c r="B4">
        <f>SUM(F:F)</f>
        <v>48845.797702068165</v>
      </c>
      <c r="C4">
        <f>CEILING(B4/2000,1)</f>
        <v>25</v>
      </c>
    </row>
    <row r="5" spans="1:20">
      <c r="A5" t="s">
        <v>784</v>
      </c>
      <c r="B5">
        <v>10</v>
      </c>
    </row>
    <row r="7" spans="1:20">
      <c r="A7" t="s">
        <v>640</v>
      </c>
      <c r="B7" t="s">
        <v>681</v>
      </c>
      <c r="C7" t="s">
        <v>682</v>
      </c>
      <c r="D7" t="s">
        <v>138</v>
      </c>
      <c r="E7" t="s">
        <v>685</v>
      </c>
      <c r="F7" t="s">
        <v>686</v>
      </c>
      <c r="G7" t="s">
        <v>687</v>
      </c>
      <c r="H7" t="s">
        <v>688</v>
      </c>
      <c r="I7" t="s">
        <v>643</v>
      </c>
      <c r="J7" t="s">
        <v>597</v>
      </c>
      <c r="K7" t="s">
        <v>644</v>
      </c>
      <c r="L7" t="s">
        <v>645</v>
      </c>
      <c r="M7">
        <v>24</v>
      </c>
      <c r="N7">
        <f>24*7</f>
        <v>168</v>
      </c>
      <c r="O7">
        <v>320</v>
      </c>
      <c r="P7">
        <v>960</v>
      </c>
      <c r="Q7">
        <v>3840</v>
      </c>
      <c r="R7">
        <v>5760</v>
      </c>
      <c r="S7">
        <v>11520</v>
      </c>
      <c r="T7">
        <v>15360</v>
      </c>
    </row>
    <row r="8" spans="1:20">
      <c r="A8" t="s">
        <v>642</v>
      </c>
      <c r="B8" s="54">
        <f>SUM(G:G)*SUM(D10:D13)/1000</f>
        <v>6195.6832738095227</v>
      </c>
      <c r="C8">
        <v>1</v>
      </c>
      <c r="D8">
        <f>CEILING(B8*C8,1)</f>
        <v>6196</v>
      </c>
      <c r="E8">
        <v>1</v>
      </c>
      <c r="F8" s="5">
        <f>E8*B8</f>
        <v>6195.6832738095227</v>
      </c>
      <c r="G8" s="5">
        <f>SUM(J8:L8)*3840/I8</f>
        <v>133.88690476190476</v>
      </c>
      <c r="H8" s="5">
        <f>G8*D8</f>
        <v>829563.26190476189</v>
      </c>
      <c r="I8">
        <f>I10*3</f>
        <v>46080</v>
      </c>
      <c r="J8">
        <v>1000</v>
      </c>
      <c r="K8">
        <f>J8*0.25</f>
        <v>250</v>
      </c>
      <c r="L8" s="5">
        <f>M8*(I8/$M$7)+N8*(I8/$N$7)+O8*(I8/$O$7)+P8*(I8/$P$7)+Q8*(I8/$Q$7)+R8*(I8/$R$7)+S8*(I8/$S$7)+T8*(I8/$T$7)</f>
        <v>356.64285714285711</v>
      </c>
      <c r="M8" s="4">
        <f>1/60</f>
        <v>1.6666666666666666E-2</v>
      </c>
      <c r="N8" s="4">
        <f>2/60</f>
        <v>3.3333333333333333E-2</v>
      </c>
      <c r="O8" s="4">
        <f>5/60</f>
        <v>8.3333333333333329E-2</v>
      </c>
      <c r="P8">
        <v>1</v>
      </c>
      <c r="Q8">
        <v>1</v>
      </c>
      <c r="R8">
        <v>2</v>
      </c>
      <c r="S8">
        <v>10</v>
      </c>
      <c r="T8">
        <f>K8*0.25</f>
        <v>62.5</v>
      </c>
    </row>
    <row r="10" spans="1:20">
      <c r="A10" t="s">
        <v>641</v>
      </c>
      <c r="B10" s="54">
        <f>Vehicle!E12+Vehicle!B29/240</f>
        <v>75277.288841509755</v>
      </c>
      <c r="C10">
        <v>0.1</v>
      </c>
      <c r="D10" s="4">
        <f>CEILING(B10*C10,1)</f>
        <v>7528</v>
      </c>
      <c r="E10" s="4">
        <v>0.5</v>
      </c>
      <c r="F10" s="5">
        <f t="shared" ref="F10:F13" si="0">E10*B10</f>
        <v>37638.644420754878</v>
      </c>
      <c r="G10" s="5">
        <f>SUM(J10:L10)*3840/I10</f>
        <v>41.595238095238095</v>
      </c>
      <c r="H10" s="5">
        <f>G10*D10</f>
        <v>313128.95238095237</v>
      </c>
      <c r="I10">
        <f>15360</f>
        <v>15360</v>
      </c>
      <c r="J10">
        <v>100</v>
      </c>
      <c r="K10">
        <f>J10*0.1</f>
        <v>10</v>
      </c>
      <c r="L10" s="5">
        <f>M10*(I10/$M$7)+N10*(I10/$N$7)+O10*(I10/$O$7)+P10*(I10/$P$7)+Q10*(I10/$Q$7)+R10*(I10/$R$7)+S10*(I10/$S$7)+T10*(I10/$T$7)</f>
        <v>56.38095238095238</v>
      </c>
      <c r="M10" s="4">
        <f>1/60</f>
        <v>1.6666666666666666E-2</v>
      </c>
      <c r="N10" s="4">
        <f>2/60</f>
        <v>3.3333333333333333E-2</v>
      </c>
      <c r="O10" s="4">
        <f>5/60</f>
        <v>8.3333333333333329E-2</v>
      </c>
      <c r="P10">
        <v>1</v>
      </c>
      <c r="Q10">
        <v>1</v>
      </c>
      <c r="R10">
        <v>2</v>
      </c>
      <c r="S10">
        <v>10</v>
      </c>
    </row>
    <row r="11" spans="1:20">
      <c r="A11" t="s">
        <v>680</v>
      </c>
      <c r="B11" s="54">
        <f>(Agriculture!E37+Agriculture!E38)/1000</f>
        <v>2216.7954055707596</v>
      </c>
      <c r="C11">
        <v>0.1</v>
      </c>
      <c r="D11" s="4">
        <f t="shared" ref="D11:D13" si="1">CEILING(B11*C11,1)</f>
        <v>222</v>
      </c>
      <c r="E11" s="4">
        <v>1</v>
      </c>
      <c r="F11" s="5">
        <f t="shared" si="0"/>
        <v>2216.7954055707596</v>
      </c>
      <c r="G11" s="5">
        <f>SUM(J11:L11)*3840/I11</f>
        <v>133.88690476190476</v>
      </c>
      <c r="H11" s="5">
        <f t="shared" ref="H11:H12" si="2">G11*D11</f>
        <v>29722.892857142855</v>
      </c>
      <c r="I11">
        <f>I8</f>
        <v>46080</v>
      </c>
      <c r="J11">
        <v>1000</v>
      </c>
      <c r="K11">
        <f>J11*0.25</f>
        <v>250</v>
      </c>
      <c r="L11" s="5">
        <f>M11*(I11/$M$7)+N11*(I11/$N$7)+O11*(I11/$O$7)+P11*(I11/$P$7)+Q11*(I11/$Q$7)+R11*(I11/$R$7)+S11*(I11/$S$7)+T11*(I11/$T$7)</f>
        <v>356.64285714285711</v>
      </c>
      <c r="M11" s="4">
        <f>1/60</f>
        <v>1.6666666666666666E-2</v>
      </c>
      <c r="N11" s="4">
        <f>2/60</f>
        <v>3.3333333333333333E-2</v>
      </c>
      <c r="O11" s="4">
        <f>5/60</f>
        <v>8.3333333333333329E-2</v>
      </c>
      <c r="P11">
        <v>1</v>
      </c>
      <c r="Q11">
        <v>1</v>
      </c>
      <c r="R11">
        <v>2</v>
      </c>
      <c r="S11">
        <v>10</v>
      </c>
      <c r="T11">
        <f>K11*0.25</f>
        <v>62.5</v>
      </c>
    </row>
    <row r="12" spans="1:20">
      <c r="A12" t="s">
        <v>646</v>
      </c>
      <c r="B12" s="54">
        <f>SUM(Crops!AF:AF)/100</f>
        <v>840.67460193299883</v>
      </c>
      <c r="C12">
        <v>0.25</v>
      </c>
      <c r="D12" s="4">
        <f t="shared" si="1"/>
        <v>211</v>
      </c>
      <c r="E12" s="4">
        <v>1</v>
      </c>
      <c r="F12" s="5">
        <f t="shared" si="0"/>
        <v>840.67460193299883</v>
      </c>
      <c r="G12" s="5">
        <f>SUM(J12:L12)*3840/I12</f>
        <v>41.595238095238095</v>
      </c>
      <c r="H12" s="5">
        <f t="shared" si="2"/>
        <v>8776.5952380952385</v>
      </c>
      <c r="I12">
        <f>15360</f>
        <v>15360</v>
      </c>
      <c r="J12">
        <v>100</v>
      </c>
      <c r="K12">
        <f>J12*0.1</f>
        <v>10</v>
      </c>
      <c r="L12" s="5">
        <f>M12*(I12/$M$7)+N12*(I12/$N$7)+O12*(I12/$O$7)+P12*(I12/$P$7)+Q12*(I12/$Q$7)+R12*(I12/$R$7)+S12*(I12/$S$7)+T12*(I12/$T$7)</f>
        <v>56.38095238095238</v>
      </c>
      <c r="M12" s="4">
        <f>1/60</f>
        <v>1.6666666666666666E-2</v>
      </c>
      <c r="N12" s="4">
        <f>2/60</f>
        <v>3.3333333333333333E-2</v>
      </c>
      <c r="O12" s="4">
        <f>5/60</f>
        <v>8.3333333333333329E-2</v>
      </c>
      <c r="P12">
        <v>1</v>
      </c>
      <c r="Q12">
        <v>1</v>
      </c>
      <c r="R12">
        <v>2</v>
      </c>
      <c r="S12">
        <v>10</v>
      </c>
    </row>
    <row r="13" spans="1:20">
      <c r="A13" t="s">
        <v>785</v>
      </c>
      <c r="B13">
        <f>(Vehicle!E12*B5)</f>
        <v>19540</v>
      </c>
      <c r="C13">
        <v>0.05</v>
      </c>
      <c r="D13" s="4">
        <f t="shared" si="1"/>
        <v>977</v>
      </c>
      <c r="E13" s="4">
        <v>0.1</v>
      </c>
      <c r="F13" s="5">
        <f t="shared" si="0"/>
        <v>1954</v>
      </c>
      <c r="G13" s="5">
        <f>SUM(J13:L13)*3840/I13</f>
        <v>342.22023809523802</v>
      </c>
      <c r="H13" s="5">
        <f t="shared" ref="H13" si="3">G13*D13</f>
        <v>334349.17261904752</v>
      </c>
      <c r="I13">
        <f>I10</f>
        <v>15360</v>
      </c>
      <c r="J13">
        <v>1000</v>
      </c>
      <c r="K13">
        <f>J13*0.25</f>
        <v>250</v>
      </c>
      <c r="L13" s="5">
        <f>M13*(I13/$M$7)+N13*(I13/$N$7)+O13*(I13/$O$7)+P13*(I13/$P$7)+Q13*(I13/$Q$7)+R13*(I13/$R$7)+S13*(I13/$S$7)+T13*(I13/$T$7)</f>
        <v>118.88095238095238</v>
      </c>
      <c r="M13" s="4">
        <f>1/60</f>
        <v>1.6666666666666666E-2</v>
      </c>
      <c r="N13" s="4">
        <f>2/60</f>
        <v>3.3333333333333333E-2</v>
      </c>
      <c r="O13" s="4">
        <f>5/60</f>
        <v>8.3333333333333329E-2</v>
      </c>
      <c r="P13">
        <v>1</v>
      </c>
      <c r="Q13">
        <v>1</v>
      </c>
      <c r="R13">
        <v>2</v>
      </c>
      <c r="S13">
        <v>10</v>
      </c>
      <c r="T13">
        <f>K13*0.25</f>
        <v>62.5</v>
      </c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E40A2-0352-B744-BB5D-40DBFBFA564D}">
  <dimension ref="A1:H45"/>
  <sheetViews>
    <sheetView workbookViewId="0"/>
  </sheetViews>
  <sheetFormatPr baseColWidth="10" defaultRowHeight="16"/>
  <cols>
    <col min="1" max="1" width="23.83203125" bestFit="1" customWidth="1"/>
    <col min="2" max="3" width="12.1640625" bestFit="1" customWidth="1"/>
    <col min="4" max="4" width="14.6640625" customWidth="1"/>
  </cols>
  <sheetData>
    <row r="1" spans="1:8">
      <c r="A1" s="83" t="s">
        <v>676</v>
      </c>
      <c r="B1" t="s">
        <v>718</v>
      </c>
      <c r="C1" t="s">
        <v>719</v>
      </c>
      <c r="D1" t="s">
        <v>756</v>
      </c>
    </row>
    <row r="2" spans="1:8" ht="17">
      <c r="A2" s="83" t="s">
        <v>717</v>
      </c>
      <c r="B2">
        <v>365.25</v>
      </c>
      <c r="C2" s="93">
        <v>365.24250000000001</v>
      </c>
      <c r="D2">
        <v>360</v>
      </c>
    </row>
    <row r="3" spans="1:8">
      <c r="A3" t="s">
        <v>6</v>
      </c>
      <c r="B3">
        <f>B2*3600*24</f>
        <v>31557600</v>
      </c>
      <c r="C3" s="48">
        <f>C2*3600*24</f>
        <v>31556952</v>
      </c>
      <c r="D3">
        <f>D2*3600*24</f>
        <v>31104000</v>
      </c>
      <c r="E3" t="s">
        <v>121</v>
      </c>
    </row>
    <row r="4" spans="1:8">
      <c r="A4" t="s">
        <v>157</v>
      </c>
      <c r="B4">
        <f>B3/3600</f>
        <v>8766</v>
      </c>
      <c r="C4" s="48">
        <f>C3/3600</f>
        <v>8765.82</v>
      </c>
      <c r="D4">
        <f>D3/3600</f>
        <v>8640</v>
      </c>
    </row>
    <row r="5" spans="1:8">
      <c r="A5" t="s">
        <v>0</v>
      </c>
      <c r="B5">
        <v>9460700000000000</v>
      </c>
    </row>
    <row r="6" spans="1:8">
      <c r="A6" t="s">
        <v>9</v>
      </c>
      <c r="B6" s="3">
        <v>299792458</v>
      </c>
      <c r="C6" s="3">
        <f>B6*B6</f>
        <v>8.987551787368176E+16</v>
      </c>
    </row>
    <row r="7" spans="1:8">
      <c r="A7" t="s">
        <v>167</v>
      </c>
      <c r="B7" s="3">
        <v>6.0220000000000003E+23</v>
      </c>
      <c r="E7">
        <v>2130</v>
      </c>
    </row>
    <row r="8" spans="1:8">
      <c r="A8" t="s">
        <v>327</v>
      </c>
      <c r="B8" s="3">
        <f>3*SQRT(3)</f>
        <v>5.196152422706632</v>
      </c>
      <c r="C8">
        <f>1.4422*3</f>
        <v>4.3266</v>
      </c>
    </row>
    <row r="9" spans="1:8">
      <c r="A9" t="s">
        <v>579</v>
      </c>
      <c r="B9">
        <v>1.2250000000000001</v>
      </c>
      <c r="C9" t="s">
        <v>200</v>
      </c>
    </row>
    <row r="10" spans="1:8">
      <c r="A10" t="s">
        <v>302</v>
      </c>
      <c r="B10">
        <v>1700</v>
      </c>
      <c r="C10" t="s">
        <v>200</v>
      </c>
    </row>
    <row r="11" spans="1:8">
      <c r="A11" t="s">
        <v>7</v>
      </c>
      <c r="B11">
        <v>9.8000000000000007</v>
      </c>
      <c r="C11" t="s">
        <v>2</v>
      </c>
    </row>
    <row r="13" spans="1:8">
      <c r="A13" s="83" t="s">
        <v>211</v>
      </c>
    </row>
    <row r="14" spans="1:8">
      <c r="A14" t="s">
        <v>63</v>
      </c>
      <c r="C14" t="s">
        <v>65</v>
      </c>
      <c r="D14" t="s">
        <v>131</v>
      </c>
      <c r="E14" t="s">
        <v>12</v>
      </c>
      <c r="F14" t="s">
        <v>673</v>
      </c>
      <c r="G14" t="s">
        <v>674</v>
      </c>
      <c r="H14" t="s">
        <v>675</v>
      </c>
    </row>
    <row r="15" spans="1:8">
      <c r="A15" t="s">
        <v>673</v>
      </c>
      <c r="C15">
        <v>4.0468600000000002E-3</v>
      </c>
      <c r="D15" s="43">
        <f>1/F17</f>
        <v>0.40468564300507887</v>
      </c>
      <c r="E15">
        <v>4046.8564200000001</v>
      </c>
      <c r="F15">
        <v>1</v>
      </c>
      <c r="G15">
        <v>1.5625000000000001E-3</v>
      </c>
    </row>
    <row r="16" spans="1:8" ht="17">
      <c r="A16" t="s">
        <v>65</v>
      </c>
      <c r="C16">
        <v>1</v>
      </c>
      <c r="D16">
        <v>100</v>
      </c>
      <c r="E16">
        <f>E17*D16</f>
        <v>1000000</v>
      </c>
      <c r="F16">
        <v>247.10538099999999</v>
      </c>
      <c r="G16" s="79">
        <v>0.38610216000000003</v>
      </c>
    </row>
    <row r="17" spans="1:8" ht="17">
      <c r="A17" t="s">
        <v>131</v>
      </c>
      <c r="C17">
        <f>1/D16</f>
        <v>0.01</v>
      </c>
      <c r="D17">
        <v>1</v>
      </c>
      <c r="E17" s="60">
        <v>10000</v>
      </c>
      <c r="F17" s="80">
        <v>2.4710538099999999</v>
      </c>
      <c r="G17">
        <v>3.8610200000000002E-3</v>
      </c>
    </row>
    <row r="18" spans="1:8" ht="17">
      <c r="A18" t="s">
        <v>12</v>
      </c>
      <c r="C18">
        <v>9.9999999999999995E-7</v>
      </c>
      <c r="D18">
        <f>1/E17</f>
        <v>1E-4</v>
      </c>
      <c r="E18" s="60">
        <v>1</v>
      </c>
      <c r="F18" s="82">
        <v>2.4710999999999998E-4</v>
      </c>
      <c r="G18" s="3">
        <v>3.861E-7</v>
      </c>
      <c r="H18">
        <v>10.76</v>
      </c>
    </row>
    <row r="21" spans="1:8">
      <c r="A21" s="83" t="s">
        <v>485</v>
      </c>
    </row>
    <row r="22" spans="1:8" ht="17">
      <c r="A22" t="s">
        <v>415</v>
      </c>
      <c r="D22" s="81">
        <v>2241.7023100000001</v>
      </c>
    </row>
    <row r="23" spans="1:8" ht="20">
      <c r="A23" t="s">
        <v>13</v>
      </c>
      <c r="B23" s="20">
        <f>13790*3</f>
        <v>41370</v>
      </c>
      <c r="C23" t="s">
        <v>15</v>
      </c>
    </row>
    <row r="24" spans="1:8">
      <c r="A24" t="s">
        <v>14</v>
      </c>
      <c r="B24">
        <f>27.4</f>
        <v>27.4</v>
      </c>
    </row>
    <row r="25" spans="1:8">
      <c r="A25" t="s">
        <v>233</v>
      </c>
      <c r="B25" t="s">
        <v>238</v>
      </c>
    </row>
    <row r="26" spans="1:8">
      <c r="A26" t="s">
        <v>234</v>
      </c>
      <c r="B26">
        <v>640</v>
      </c>
      <c r="C26" t="s">
        <v>235</v>
      </c>
    </row>
    <row r="27" spans="1:8">
      <c r="A27" t="s">
        <v>236</v>
      </c>
      <c r="B27">
        <v>240</v>
      </c>
      <c r="C27" t="s">
        <v>235</v>
      </c>
    </row>
    <row r="28" spans="1:8">
      <c r="A28" t="s">
        <v>197</v>
      </c>
      <c r="B28">
        <v>8.4499999999999993</v>
      </c>
      <c r="C28" t="s">
        <v>237</v>
      </c>
      <c r="E28" t="s">
        <v>45</v>
      </c>
    </row>
    <row r="29" spans="1:8">
      <c r="A29" t="s">
        <v>19</v>
      </c>
      <c r="B29" s="3">
        <v>6668000000000000</v>
      </c>
      <c r="C29" t="s">
        <v>43</v>
      </c>
      <c r="D29" s="4">
        <f>B29/(Vehicle!B71+Vehicle!B65)</f>
        <v>31774577.680088237</v>
      </c>
    </row>
    <row r="30" spans="1:8">
      <c r="A30" t="s">
        <v>44</v>
      </c>
      <c r="B30" s="3">
        <v>9.1E+20</v>
      </c>
      <c r="C30" s="22"/>
      <c r="D30" s="4">
        <f>B30/(Vehicle!B47+Vehicle!B84)</f>
        <v>226478324710.823</v>
      </c>
    </row>
    <row r="31" spans="1:8">
      <c r="A31" t="s">
        <v>165</v>
      </c>
      <c r="B31">
        <v>104600</v>
      </c>
      <c r="C31" s="22" t="s">
        <v>887</v>
      </c>
      <c r="D31" s="3">
        <f>B31*1016.05</f>
        <v>106278830</v>
      </c>
      <c r="E31" t="s">
        <v>43</v>
      </c>
    </row>
    <row r="32" spans="1:8">
      <c r="A32" t="s">
        <v>861</v>
      </c>
      <c r="B32" s="54">
        <v>72000</v>
      </c>
      <c r="C32" s="22" t="s">
        <v>887</v>
      </c>
      <c r="D32" s="3">
        <f>B32*1016.05</f>
        <v>73155600</v>
      </c>
      <c r="E32" t="s">
        <v>43</v>
      </c>
    </row>
    <row r="33" spans="1:7">
      <c r="A33" t="s">
        <v>713</v>
      </c>
      <c r="B33">
        <v>0.74569987000000004</v>
      </c>
    </row>
    <row r="34" spans="1:7">
      <c r="A34" t="s">
        <v>714</v>
      </c>
      <c r="B34">
        <f>1/B33</f>
        <v>1.3410220924404881</v>
      </c>
    </row>
    <row r="35" spans="1:7">
      <c r="A35" t="s">
        <v>715</v>
      </c>
      <c r="B35" s="3">
        <v>312</v>
      </c>
      <c r="C35" t="s">
        <v>210</v>
      </c>
      <c r="D35" t="s">
        <v>209</v>
      </c>
    </row>
    <row r="37" spans="1:7">
      <c r="A37" t="s">
        <v>155</v>
      </c>
      <c r="B37" s="48">
        <f>1000/B3</f>
        <v>3.1688087814028949E-5</v>
      </c>
      <c r="C37" s="48">
        <f>1/B37</f>
        <v>31557.600000000002</v>
      </c>
    </row>
    <row r="38" spans="1:7">
      <c r="A38" t="s">
        <v>752</v>
      </c>
      <c r="B38" s="48">
        <f>1000/(3600*24)</f>
        <v>1.1574074074074073E-2</v>
      </c>
      <c r="C38">
        <f>1/B38</f>
        <v>86.4</v>
      </c>
    </row>
    <row r="40" spans="1:7">
      <c r="A40" t="s">
        <v>205</v>
      </c>
      <c r="B40" s="48">
        <f>41868/1000</f>
        <v>41.868000000000002</v>
      </c>
      <c r="D40" t="s">
        <v>206</v>
      </c>
    </row>
    <row r="41" spans="1:7">
      <c r="A41" t="s">
        <v>582</v>
      </c>
      <c r="B41">
        <v>333</v>
      </c>
      <c r="C41" t="s">
        <v>1</v>
      </c>
    </row>
    <row r="42" spans="1:7">
      <c r="A42" t="s">
        <v>584</v>
      </c>
      <c r="B42">
        <v>109.72799999999999</v>
      </c>
      <c r="C42" t="s">
        <v>1</v>
      </c>
    </row>
    <row r="44" spans="1:7">
      <c r="A44" t="s">
        <v>721</v>
      </c>
      <c r="B44" s="4">
        <v>3.24</v>
      </c>
      <c r="C44" t="s">
        <v>583</v>
      </c>
      <c r="D44">
        <v>550</v>
      </c>
      <c r="E44" t="s">
        <v>1</v>
      </c>
      <c r="F44">
        <f>B44/D44*Conversion!B41</f>
        <v>1.9616727272727275</v>
      </c>
      <c r="G44" t="s">
        <v>583</v>
      </c>
    </row>
    <row r="45" spans="1:7">
      <c r="A45" t="s">
        <v>722</v>
      </c>
      <c r="B45">
        <v>7.2</v>
      </c>
      <c r="C45" t="s">
        <v>583</v>
      </c>
      <c r="D45">
        <f>Vehicle!B37*2</f>
        <v>250</v>
      </c>
      <c r="E45" t="s">
        <v>1</v>
      </c>
      <c r="F45">
        <f>B45/D45*Conversion!B42</f>
        <v>3.1601663999999996</v>
      </c>
      <c r="G45" t="s">
        <v>583</v>
      </c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83514-39E3-3B40-8427-EAE05288B8F8}">
  <dimension ref="A1:S68"/>
  <sheetViews>
    <sheetView tabSelected="1" workbookViewId="0">
      <selection activeCell="F11" sqref="F11"/>
    </sheetView>
  </sheetViews>
  <sheetFormatPr baseColWidth="10" defaultRowHeight="16"/>
  <cols>
    <col min="3" max="3" width="11.6640625" bestFit="1" customWidth="1"/>
    <col min="4" max="4" width="11.1640625" bestFit="1" customWidth="1"/>
    <col min="5" max="5" width="14.83203125" customWidth="1"/>
    <col min="6" max="6" width="16.6640625" bestFit="1" customWidth="1"/>
    <col min="7" max="9" width="14.1640625" customWidth="1"/>
    <col min="13" max="13" width="14.83203125" bestFit="1" customWidth="1"/>
  </cols>
  <sheetData>
    <row r="1" spans="1:19">
      <c r="A1" t="s">
        <v>345</v>
      </c>
      <c r="E1" s="4">
        <f>Vehicle!B9</f>
        <v>500</v>
      </c>
      <c r="G1" s="126" t="s">
        <v>833</v>
      </c>
      <c r="H1" s="126">
        <v>847</v>
      </c>
      <c r="I1" s="130"/>
      <c r="J1" s="127" t="s">
        <v>843</v>
      </c>
      <c r="K1" s="127"/>
      <c r="L1" s="130" t="s">
        <v>852</v>
      </c>
      <c r="M1" s="130"/>
      <c r="O1">
        <f>80*50</f>
        <v>4000</v>
      </c>
    </row>
    <row r="2" spans="1:19">
      <c r="A2" t="s">
        <v>923</v>
      </c>
      <c r="E2" s="4">
        <f>Vehicle!B8</f>
        <v>500</v>
      </c>
      <c r="F2" t="s">
        <v>310</v>
      </c>
      <c r="G2" s="126" t="s">
        <v>840</v>
      </c>
      <c r="H2" s="126" t="s">
        <v>834</v>
      </c>
      <c r="I2" s="130"/>
      <c r="J2" s="127">
        <f>H4*H4*(3*SQRT(3)/8)</f>
        <v>889.19158333567236</v>
      </c>
      <c r="K2" s="127" t="s">
        <v>12</v>
      </c>
      <c r="L2" s="130">
        <f>Vehicle!B1/F21</f>
        <v>3.9746761334993526</v>
      </c>
      <c r="M2" s="130">
        <f>J2/8</f>
        <v>111.14894791695905</v>
      </c>
      <c r="O2" s="126">
        <f>SQRT(O1*8/(3*SQRT(3)))</f>
        <v>78.475492170205655</v>
      </c>
    </row>
    <row r="3" spans="1:19">
      <c r="A3" t="s">
        <v>335</v>
      </c>
      <c r="E3">
        <f>Vehicle!B60</f>
        <v>10000</v>
      </c>
      <c r="G3" s="126" t="s">
        <v>841</v>
      </c>
      <c r="H3" s="126">
        <f>SQRT(H1*8/(3*SQRT(3)))</f>
        <v>36.111519048769395</v>
      </c>
      <c r="I3" s="130"/>
      <c r="J3" s="127">
        <f>J2*Conversion!$H$18</f>
        <v>9567.7014366918338</v>
      </c>
      <c r="K3" s="127" t="s">
        <v>675</v>
      </c>
      <c r="L3" s="130"/>
      <c r="M3" s="130"/>
    </row>
    <row r="4" spans="1:19">
      <c r="A4" t="s">
        <v>5</v>
      </c>
      <c r="E4" s="43">
        <v>9.8000000000000007</v>
      </c>
      <c r="F4">
        <f>E4/E1</f>
        <v>1.9600000000000003E-2</v>
      </c>
      <c r="G4" s="126" t="s">
        <v>842</v>
      </c>
      <c r="H4" s="126">
        <v>37</v>
      </c>
      <c r="I4" s="130">
        <f>35.3/2</f>
        <v>17.649999999999999</v>
      </c>
      <c r="J4" s="128">
        <f>J2*Conversion!F18</f>
        <v>0.21972813215807799</v>
      </c>
      <c r="K4" s="127" t="s">
        <v>22</v>
      </c>
      <c r="L4" s="130"/>
      <c r="M4" s="130"/>
      <c r="O4" t="s">
        <v>862</v>
      </c>
    </row>
    <row r="5" spans="1:19">
      <c r="A5" t="s">
        <v>347</v>
      </c>
      <c r="E5" s="43">
        <f>SQRT(E4*1/E1)</f>
        <v>0.14000000000000001</v>
      </c>
      <c r="G5" s="126" t="s">
        <v>837</v>
      </c>
      <c r="H5" s="126">
        <v>42</v>
      </c>
      <c r="I5" s="130" t="s">
        <v>835</v>
      </c>
      <c r="J5" s="130"/>
      <c r="K5" s="130"/>
      <c r="L5" s="130"/>
      <c r="M5" s="130"/>
      <c r="O5" t="s">
        <v>863</v>
      </c>
      <c r="P5">
        <f>H4</f>
        <v>37</v>
      </c>
      <c r="R5">
        <v>100</v>
      </c>
    </row>
    <row r="6" spans="1:19">
      <c r="A6" t="s">
        <v>346</v>
      </c>
      <c r="E6" s="43">
        <f>E5*30/PI()</f>
        <v>1.3369015219719209</v>
      </c>
      <c r="G6" s="126" t="s">
        <v>838</v>
      </c>
      <c r="H6" s="126" t="s">
        <v>839</v>
      </c>
      <c r="I6" s="129">
        <v>0</v>
      </c>
      <c r="J6" s="129">
        <v>0</v>
      </c>
      <c r="K6" s="129"/>
      <c r="L6" s="129" t="s">
        <v>211</v>
      </c>
      <c r="M6" s="129" t="s">
        <v>836</v>
      </c>
      <c r="O6" t="s">
        <v>865</v>
      </c>
      <c r="P6">
        <f>P5/2</f>
        <v>18.5</v>
      </c>
      <c r="R6">
        <f>R5/2</f>
        <v>50</v>
      </c>
    </row>
    <row r="7" spans="1:19">
      <c r="A7" t="s">
        <v>356</v>
      </c>
      <c r="E7" s="43">
        <f>Vehicle!B58</f>
        <v>179.54618916474604</v>
      </c>
      <c r="G7" s="126">
        <v>0</v>
      </c>
      <c r="H7" s="126">
        <v>1</v>
      </c>
      <c r="I7" s="126">
        <f t="shared" ref="I7:I14" si="0">$H$4*0.5+$H$5*G7</f>
        <v>18.5</v>
      </c>
      <c r="J7" s="126">
        <f t="shared" ref="J7:J12" si="1">J6+H7</f>
        <v>1</v>
      </c>
      <c r="K7" s="126">
        <f t="shared" ref="K7:K14" si="2">J7*$J$2</f>
        <v>889.19158333567236</v>
      </c>
      <c r="L7" s="126">
        <f t="shared" ref="L7:L14" si="3">I7*I7*PI()</f>
        <v>1075.2100856911068</v>
      </c>
      <c r="M7" s="126">
        <f t="shared" ref="M7:M14" si="4">K7/L7</f>
        <v>0.82699334313268802</v>
      </c>
      <c r="O7" t="s">
        <v>864</v>
      </c>
      <c r="P7">
        <f>COS(30*PI()/180)*P6</f>
        <v>16.021469970012117</v>
      </c>
      <c r="Q7">
        <f>P7*2</f>
        <v>32.042939940024233</v>
      </c>
      <c r="R7">
        <f>COS(30*PI()/180)*R6</f>
        <v>43.301270189221938</v>
      </c>
      <c r="S7">
        <f>R7*2</f>
        <v>86.602540378443877</v>
      </c>
    </row>
    <row r="8" spans="1:19">
      <c r="A8" t="s">
        <v>359</v>
      </c>
      <c r="E8" s="43">
        <f>2*E1*PI()/6</f>
        <v>523.59877559829886</v>
      </c>
      <c r="G8" s="126">
        <f>G7+1</f>
        <v>1</v>
      </c>
      <c r="H8" s="126">
        <v>6</v>
      </c>
      <c r="I8" s="126">
        <f t="shared" si="0"/>
        <v>60.5</v>
      </c>
      <c r="J8" s="126">
        <f t="shared" si="1"/>
        <v>7</v>
      </c>
      <c r="K8" s="126">
        <f t="shared" si="2"/>
        <v>6224.3410833497064</v>
      </c>
      <c r="L8" s="126">
        <f t="shared" si="3"/>
        <v>11499.01451030204</v>
      </c>
      <c r="M8" s="126">
        <f t="shared" si="4"/>
        <v>0.54129343673523322</v>
      </c>
      <c r="O8" t="s">
        <v>866</v>
      </c>
      <c r="P8">
        <f>P7*2/SQRT(3)</f>
        <v>18.500000000000004</v>
      </c>
      <c r="R8">
        <f>R7*2/SQRT(3)</f>
        <v>50.000000000000007</v>
      </c>
    </row>
    <row r="9" spans="1:19">
      <c r="A9" t="s">
        <v>357</v>
      </c>
      <c r="E9">
        <f>$F$4*($E$1-E45)/9.8</f>
        <v>0.5</v>
      </c>
      <c r="G9" s="126">
        <f t="shared" ref="G9:G12" si="5">G8+1</f>
        <v>2</v>
      </c>
      <c r="H9" s="126">
        <v>12</v>
      </c>
      <c r="I9" s="126">
        <f t="shared" si="0"/>
        <v>102.5</v>
      </c>
      <c r="J9" s="126">
        <f t="shared" si="1"/>
        <v>19</v>
      </c>
      <c r="K9" s="126">
        <f t="shared" si="2"/>
        <v>16894.640083377773</v>
      </c>
      <c r="L9" s="126">
        <f t="shared" si="3"/>
        <v>33006.357816777767</v>
      </c>
      <c r="M9" s="126">
        <f t="shared" si="4"/>
        <v>0.51186017485364299</v>
      </c>
    </row>
    <row r="10" spans="1:19">
      <c r="A10" t="s">
        <v>924</v>
      </c>
      <c r="C10" s="4">
        <v>250</v>
      </c>
      <c r="D10" s="4"/>
      <c r="F10" s="4">
        <f>E1-C10</f>
        <v>250</v>
      </c>
      <c r="G10" s="126">
        <f t="shared" si="5"/>
        <v>3</v>
      </c>
      <c r="H10" s="126">
        <v>18</v>
      </c>
      <c r="I10" s="126">
        <f t="shared" si="0"/>
        <v>144.5</v>
      </c>
      <c r="J10" s="126">
        <f t="shared" si="1"/>
        <v>37</v>
      </c>
      <c r="K10" s="126">
        <f t="shared" si="2"/>
        <v>32900.088583419878</v>
      </c>
      <c r="L10" s="126">
        <f t="shared" si="3"/>
        <v>65597.240005118278</v>
      </c>
      <c r="M10" s="126">
        <f t="shared" si="4"/>
        <v>0.50154684222770385</v>
      </c>
    </row>
    <row r="11" spans="1:19">
      <c r="A11" t="s">
        <v>587</v>
      </c>
      <c r="C11" s="4">
        <v>0.9</v>
      </c>
      <c r="D11" s="4">
        <f>C10*C11</f>
        <v>225</v>
      </c>
      <c r="G11" s="126">
        <f t="shared" si="5"/>
        <v>4</v>
      </c>
      <c r="H11" s="126">
        <v>24</v>
      </c>
      <c r="I11" s="126">
        <f t="shared" si="0"/>
        <v>186.5</v>
      </c>
      <c r="J11" s="126">
        <f t="shared" si="1"/>
        <v>61</v>
      </c>
      <c r="K11" s="126">
        <f t="shared" si="2"/>
        <v>54240.686583476017</v>
      </c>
      <c r="L11" s="126">
        <f t="shared" si="3"/>
        <v>109271.66107532359</v>
      </c>
      <c r="M11" s="126">
        <f t="shared" si="4"/>
        <v>0.4963838386796976</v>
      </c>
    </row>
    <row r="12" spans="1:19">
      <c r="A12" t="s">
        <v>347</v>
      </c>
      <c r="C12" s="4">
        <f>Geometry!E5</f>
        <v>0.14000000000000001</v>
      </c>
      <c r="D12" s="4">
        <f>C12*C12</f>
        <v>1.9600000000000003E-2</v>
      </c>
      <c r="G12" s="126">
        <f t="shared" si="5"/>
        <v>5</v>
      </c>
      <c r="H12" s="126">
        <f>H11+6</f>
        <v>30</v>
      </c>
      <c r="I12" s="126">
        <f t="shared" si="0"/>
        <v>228.5</v>
      </c>
      <c r="J12" s="126">
        <f t="shared" si="1"/>
        <v>91</v>
      </c>
      <c r="K12" s="126">
        <f t="shared" si="2"/>
        <v>80916.434083546192</v>
      </c>
      <c r="L12" s="126">
        <f t="shared" si="3"/>
        <v>164029.62102739367</v>
      </c>
      <c r="M12" s="126">
        <f t="shared" si="4"/>
        <v>0.49330379218539305</v>
      </c>
    </row>
    <row r="13" spans="1:19">
      <c r="A13" t="s">
        <v>563</v>
      </c>
      <c r="C13" s="4">
        <f>Geometry!E1</f>
        <v>500</v>
      </c>
      <c r="G13" s="126">
        <f t="shared" ref="G13" si="6">G12+1</f>
        <v>6</v>
      </c>
      <c r="H13" s="126">
        <f>H12+6</f>
        <v>36</v>
      </c>
      <c r="I13" s="126">
        <f t="shared" si="0"/>
        <v>270.5</v>
      </c>
      <c r="J13" s="126">
        <f t="shared" ref="J13" si="7">J12+H13</f>
        <v>127</v>
      </c>
      <c r="K13" s="126">
        <f t="shared" si="2"/>
        <v>112927.33108363039</v>
      </c>
      <c r="L13" s="126">
        <f t="shared" si="3"/>
        <v>229871.11986132857</v>
      </c>
      <c r="M13" s="126">
        <f t="shared" si="4"/>
        <v>0.49126367484421107</v>
      </c>
    </row>
    <row r="14" spans="1:19">
      <c r="A14" t="s">
        <v>708</v>
      </c>
      <c r="C14" s="4">
        <f>Vehicle!B2</f>
        <v>1</v>
      </c>
      <c r="G14" s="126">
        <f t="shared" ref="G14" si="8">G13+1</f>
        <v>7</v>
      </c>
      <c r="H14" s="126">
        <f>H13+6</f>
        <v>42</v>
      </c>
      <c r="I14" s="126">
        <f t="shared" si="0"/>
        <v>312.5</v>
      </c>
      <c r="J14" s="126">
        <f t="shared" ref="J14" si="9">J13+H14</f>
        <v>169</v>
      </c>
      <c r="K14" s="126">
        <f t="shared" si="2"/>
        <v>150273.37758372864</v>
      </c>
      <c r="L14" s="126">
        <f t="shared" si="3"/>
        <v>306796.15757712821</v>
      </c>
      <c r="M14" s="126">
        <f t="shared" si="4"/>
        <v>0.48981505756293603</v>
      </c>
    </row>
    <row r="15" spans="1:19">
      <c r="C15" s="4"/>
      <c r="G15" s="120"/>
      <c r="H15" s="120"/>
      <c r="I15" s="120"/>
      <c r="J15" s="120"/>
      <c r="K15" s="120"/>
      <c r="L15" s="120"/>
      <c r="M15" s="120"/>
    </row>
    <row r="16" spans="1:19">
      <c r="A16" t="s">
        <v>564</v>
      </c>
      <c r="C16" s="4">
        <v>5</v>
      </c>
      <c r="D16">
        <f>C16*3.2808399</f>
        <v>16.404199500000001</v>
      </c>
      <c r="E16" t="s">
        <v>565</v>
      </c>
      <c r="F16" s="54"/>
    </row>
    <row r="17" spans="1:13">
      <c r="A17" t="s">
        <v>562</v>
      </c>
      <c r="C17" s="54">
        <v>5</v>
      </c>
      <c r="D17">
        <f>C17*3.2808399</f>
        <v>16.404199500000001</v>
      </c>
      <c r="G17" t="s">
        <v>727</v>
      </c>
      <c r="K17" s="54"/>
    </row>
    <row r="18" spans="1:13">
      <c r="A18" t="s">
        <v>586</v>
      </c>
      <c r="C18">
        <f>SUM(Gravity!H:H)</f>
        <v>51</v>
      </c>
      <c r="F18" t="s">
        <v>844</v>
      </c>
    </row>
    <row r="19" spans="1:13">
      <c r="A19" t="s">
        <v>326</v>
      </c>
      <c r="C19" s="3">
        <f>SUM(Gravity!I:I)</f>
        <v>59297589.086507343</v>
      </c>
      <c r="D19" s="4">
        <f>C19*Conversion!F18</f>
        <v>14653.027239166828</v>
      </c>
    </row>
    <row r="20" spans="1:13">
      <c r="A20" t="s">
        <v>590</v>
      </c>
      <c r="C20" s="5">
        <f>SUM(Gravity!P:P)</f>
        <v>257022.44819894512</v>
      </c>
      <c r="D20">
        <f>Vehicle!B24/$C$14</f>
        <v>323748.51360000001</v>
      </c>
      <c r="E20" s="39">
        <f t="shared" ref="E20:E26" si="10">C20/D20</f>
        <v>0.79389537681863542</v>
      </c>
      <c r="F20">
        <f>C20/$J$2</f>
        <v>289.05182304443656</v>
      </c>
    </row>
    <row r="21" spans="1:13">
      <c r="A21" t="s">
        <v>591</v>
      </c>
      <c r="C21" s="5">
        <f>SUM(Gravity!O:O)</f>
        <v>447428.446228054</v>
      </c>
      <c r="D21">
        <f>Vehicle!B23/$C$14</f>
        <v>590400.38198087446</v>
      </c>
      <c r="E21" s="39">
        <f t="shared" si="10"/>
        <v>0.75783901888218641</v>
      </c>
      <c r="F21">
        <f t="shared" ref="F21:F25" si="11">C21/$J$2</f>
        <v>503.18565156632673</v>
      </c>
      <c r="M21">
        <f>15.5*12</f>
        <v>186</v>
      </c>
    </row>
    <row r="22" spans="1:13">
      <c r="A22" t="s">
        <v>592</v>
      </c>
      <c r="C22" s="5">
        <f>SUM(Gravity!M:M)</f>
        <v>7019807.9380659414</v>
      </c>
      <c r="D22">
        <f>Vehicle!B22/$C$14</f>
        <v>9670722.412343489</v>
      </c>
      <c r="E22" s="39">
        <f t="shared" si="10"/>
        <v>0.72588247689810836</v>
      </c>
      <c r="F22">
        <f t="shared" si="11"/>
        <v>7894.5955738044186</v>
      </c>
      <c r="M22">
        <f>18*10</f>
        <v>180</v>
      </c>
    </row>
    <row r="23" spans="1:13">
      <c r="A23" t="s">
        <v>846</v>
      </c>
      <c r="C23" s="5">
        <f>SUM(Gravity!N:N)</f>
        <v>3470646.4012963609</v>
      </c>
      <c r="D23">
        <f>Vehicle!B21/$C$14</f>
        <v>4374334.2301184833</v>
      </c>
      <c r="E23" s="39">
        <f t="shared" si="10"/>
        <v>0.79341134415381764</v>
      </c>
      <c r="F23">
        <f t="shared" si="11"/>
        <v>3903.148057561159</v>
      </c>
    </row>
    <row r="24" spans="1:13">
      <c r="A24" t="s">
        <v>695</v>
      </c>
      <c r="C24" s="5">
        <f>SUM(Gravity!Q:Q)</f>
        <v>1536714.8937217421</v>
      </c>
      <c r="D24">
        <f>Vehicle!B25/$C$14</f>
        <v>2027758.7839194976</v>
      </c>
      <c r="E24" s="39">
        <f t="shared" si="10"/>
        <v>0.75783910093654905</v>
      </c>
      <c r="F24">
        <f t="shared" si="11"/>
        <v>1728.2157439648502</v>
      </c>
    </row>
    <row r="25" spans="1:13">
      <c r="A25" t="s">
        <v>934</v>
      </c>
      <c r="C25" s="5">
        <f>SUM(Gravity!R:R)</f>
        <v>370204.36072394811</v>
      </c>
      <c r="D25">
        <f>Vehicle!B26/$C$14</f>
        <v>488500</v>
      </c>
      <c r="E25" s="39">
        <f t="shared" si="10"/>
        <v>0.75783901888218652</v>
      </c>
      <c r="F25">
        <f t="shared" si="11"/>
        <v>416.33812966962699</v>
      </c>
    </row>
    <row r="26" spans="1:13">
      <c r="A26" t="s">
        <v>935</v>
      </c>
      <c r="C26" s="5">
        <f>SUM(Gravity!S:S)</f>
        <v>96891.492224104717</v>
      </c>
      <c r="D26">
        <f>Vehicle!B27/$C$14</f>
        <v>122125</v>
      </c>
      <c r="E26" s="39">
        <f t="shared" si="10"/>
        <v>0.7933796702076128</v>
      </c>
      <c r="F26">
        <f t="shared" ref="F26" si="12">C26/$J$2</f>
        <v>108.96582248409328</v>
      </c>
    </row>
    <row r="27" spans="1:13">
      <c r="A27" t="s">
        <v>728</v>
      </c>
      <c r="C27" s="5">
        <f>SUM(Gravity!U:U)</f>
        <v>11518331.781229939</v>
      </c>
      <c r="E27" s="39"/>
    </row>
    <row r="28" spans="1:13">
      <c r="A28" t="s">
        <v>350</v>
      </c>
      <c r="C28" s="5"/>
      <c r="E28" s="39"/>
      <c r="J28" t="s">
        <v>350</v>
      </c>
    </row>
    <row r="29" spans="1:13">
      <c r="A29" t="s">
        <v>709</v>
      </c>
      <c r="C29" s="92">
        <f>SUM(J20:J25)</f>
        <v>0</v>
      </c>
      <c r="E29" s="39"/>
      <c r="I29" t="s">
        <v>728</v>
      </c>
      <c r="J29">
        <v>0</v>
      </c>
      <c r="K29">
        <v>5</v>
      </c>
    </row>
    <row r="30" spans="1:13">
      <c r="I30" t="s">
        <v>592</v>
      </c>
      <c r="J30">
        <v>1</v>
      </c>
      <c r="K30">
        <v>5</v>
      </c>
    </row>
    <row r="31" spans="1:13">
      <c r="A31" t="s">
        <v>724</v>
      </c>
      <c r="B31">
        <f>LOOKUP(C31,Gravity!D:D,Gravity!A:A)</f>
        <v>0</v>
      </c>
      <c r="C31" s="4">
        <f>C13-C10+D10</f>
        <v>250</v>
      </c>
      <c r="D31" t="e">
        <f>LOOKUP(B31,Gravity!A:A,Gravity!#REF!)</f>
        <v>#REF!</v>
      </c>
      <c r="I31" t="s">
        <v>846</v>
      </c>
      <c r="J31">
        <v>2</v>
      </c>
      <c r="K31">
        <v>15</v>
      </c>
    </row>
    <row r="32" spans="1:13">
      <c r="C32" s="4"/>
      <c r="I32" t="s">
        <v>847</v>
      </c>
      <c r="J32">
        <v>3</v>
      </c>
      <c r="K32">
        <v>5</v>
      </c>
    </row>
    <row r="33" spans="1:11">
      <c r="A33" t="s">
        <v>925</v>
      </c>
      <c r="E33" t="s">
        <v>580</v>
      </c>
      <c r="I33" t="s">
        <v>853</v>
      </c>
      <c r="J33">
        <v>4</v>
      </c>
      <c r="K33">
        <v>15</v>
      </c>
    </row>
    <row r="34" spans="1:11">
      <c r="A34" t="s">
        <v>326</v>
      </c>
      <c r="E34" s="3">
        <f>Vehicle!B29</f>
        <v>17597589.321962342</v>
      </c>
      <c r="I34" t="s">
        <v>848</v>
      </c>
      <c r="J34">
        <v>5</v>
      </c>
      <c r="K34">
        <v>5</v>
      </c>
    </row>
    <row r="35" spans="1:11">
      <c r="A35" t="s">
        <v>328</v>
      </c>
      <c r="E35">
        <f>Vehicle!B2</f>
        <v>1</v>
      </c>
      <c r="I35" t="s">
        <v>704</v>
      </c>
      <c r="J35">
        <v>6</v>
      </c>
      <c r="K35">
        <v>5</v>
      </c>
    </row>
    <row r="36" spans="1:11">
      <c r="A36" t="s">
        <v>886</v>
      </c>
      <c r="E36">
        <f>E1*2*PI()</f>
        <v>3141.5926535897929</v>
      </c>
      <c r="I36" t="s">
        <v>850</v>
      </c>
      <c r="J36">
        <v>7</v>
      </c>
      <c r="K36">
        <v>5</v>
      </c>
    </row>
    <row r="37" spans="1:11">
      <c r="A37" t="s">
        <v>831</v>
      </c>
      <c r="E37" s="4">
        <f>E1-C10</f>
        <v>250</v>
      </c>
    </row>
    <row r="38" spans="1:11">
      <c r="A38" t="s">
        <v>330</v>
      </c>
      <c r="E38" s="44">
        <f>E34/E35</f>
        <v>17597589.321962342</v>
      </c>
      <c r="F38" s="44"/>
    </row>
    <row r="39" spans="1:11">
      <c r="E39" s="24">
        <f>E40/$E$38</f>
        <v>2.8981242297972261E-6</v>
      </c>
      <c r="F39" s="24"/>
      <c r="G39" s="39"/>
      <c r="H39" s="39"/>
      <c r="I39" s="39"/>
    </row>
    <row r="40" spans="1:11">
      <c r="A40" t="s">
        <v>331</v>
      </c>
      <c r="E40" s="44">
        <f>SUM(Gravity!H:H)</f>
        <v>51</v>
      </c>
      <c r="F40" s="44"/>
      <c r="G40" s="65"/>
      <c r="H40" s="65"/>
      <c r="I40" s="65"/>
    </row>
    <row r="41" spans="1:11">
      <c r="A41" t="s">
        <v>329</v>
      </c>
      <c r="E41" s="54">
        <v>5</v>
      </c>
    </row>
    <row r="42" spans="1:11">
      <c r="A42" t="s">
        <v>301</v>
      </c>
      <c r="E42" s="54">
        <f>Geometry!C18</f>
        <v>51</v>
      </c>
      <c r="G42" s="4"/>
      <c r="H42" s="4"/>
      <c r="I42" s="4"/>
    </row>
    <row r="43" spans="1:11" ht="15" customHeight="1">
      <c r="A43" t="s">
        <v>352</v>
      </c>
      <c r="E43" s="4">
        <v>1</v>
      </c>
      <c r="F43" s="4"/>
    </row>
    <row r="44" spans="1:11">
      <c r="A44" t="s">
        <v>122</v>
      </c>
      <c r="E44" s="4">
        <f>E45/2</f>
        <v>125</v>
      </c>
      <c r="F44" s="4">
        <f>E44*2</f>
        <v>250</v>
      </c>
      <c r="H44" s="4"/>
    </row>
    <row r="45" spans="1:11">
      <c r="A45" t="s">
        <v>350</v>
      </c>
      <c r="E45" s="4">
        <f>E1-E37</f>
        <v>250</v>
      </c>
      <c r="F45" s="4"/>
      <c r="G45">
        <f>E45*2+E37*2</f>
        <v>1000</v>
      </c>
    </row>
    <row r="46" spans="1:11">
      <c r="A46" t="s">
        <v>354</v>
      </c>
      <c r="E46" s="4">
        <f>E44*2</f>
        <v>250</v>
      </c>
      <c r="F46" s="4"/>
    </row>
    <row r="47" spans="1:11">
      <c r="A47" t="s">
        <v>336</v>
      </c>
      <c r="E47" s="4"/>
      <c r="H47" s="4"/>
    </row>
    <row r="49" spans="1:9">
      <c r="A49" t="s">
        <v>332</v>
      </c>
      <c r="E49" s="44">
        <f>IF(E45&lt;E44,2*PI()*E44*E44+PI()*E45*E45/E47*LN((1+E47)/(1-E47)),4*PI()*E44*E44)</f>
        <v>196349.54084936206</v>
      </c>
      <c r="F49" s="44"/>
      <c r="G49" s="44"/>
      <c r="H49" s="44"/>
      <c r="I49" s="44"/>
    </row>
    <row r="50" spans="1:9">
      <c r="A50" t="s">
        <v>334</v>
      </c>
      <c r="E50" s="44">
        <f>4*PI()/3*E44*E44*E44</f>
        <v>8181230.8687234195</v>
      </c>
      <c r="F50" s="44"/>
      <c r="G50" s="44"/>
      <c r="H50" s="44"/>
      <c r="I50" s="44"/>
    </row>
    <row r="51" spans="1:9">
      <c r="A51" t="s">
        <v>358</v>
      </c>
      <c r="E51" s="4">
        <f>E49/E50</f>
        <v>2.4E-2</v>
      </c>
      <c r="F51" s="4"/>
      <c r="G51" s="4"/>
      <c r="H51" s="4"/>
      <c r="I51" s="4"/>
    </row>
    <row r="52" spans="1:9">
      <c r="A52" t="s">
        <v>341</v>
      </c>
      <c r="E52" s="3">
        <f>E49*E3</f>
        <v>1963495408.4936206</v>
      </c>
      <c r="F52" s="3"/>
      <c r="G52" s="3"/>
      <c r="H52" s="3"/>
      <c r="I52" s="3"/>
    </row>
    <row r="53" spans="1:9">
      <c r="A53" t="s">
        <v>355</v>
      </c>
      <c r="E53" s="3">
        <f>E50*$E$7</f>
        <v>1468908825.1562746</v>
      </c>
      <c r="F53" s="3"/>
      <c r="G53" s="3"/>
      <c r="H53" s="3"/>
      <c r="I53" s="3"/>
    </row>
    <row r="54" spans="1:9">
      <c r="E54" s="3"/>
      <c r="F54" s="3"/>
      <c r="G54" s="3"/>
      <c r="H54" s="3"/>
      <c r="I54" s="3"/>
    </row>
    <row r="55" spans="1:9">
      <c r="A55" t="s">
        <v>16</v>
      </c>
      <c r="E55" s="3">
        <f>E40*Conversion!B10</f>
        <v>86700</v>
      </c>
      <c r="F55" s="3"/>
      <c r="G55" s="3"/>
      <c r="H55" s="3"/>
      <c r="I55" s="3"/>
    </row>
    <row r="56" spans="1:9">
      <c r="A56" t="s">
        <v>322</v>
      </c>
      <c r="E56" s="3">
        <f>(E50-E55/Conversion!B10-E53/8000)*Conversion!B9</f>
        <v>9797018.6753341351</v>
      </c>
      <c r="F56" s="3"/>
      <c r="G56" s="3"/>
      <c r="H56" s="3"/>
      <c r="I56" s="3"/>
    </row>
    <row r="57" spans="1:9">
      <c r="E57" s="3"/>
      <c r="F57" s="4"/>
      <c r="G57" s="3"/>
      <c r="H57" s="3"/>
      <c r="I57" s="3"/>
    </row>
    <row r="58" spans="1:9">
      <c r="A58" t="s">
        <v>549</v>
      </c>
      <c r="E58" s="3">
        <f>(E56+E55+E53+E52)*Vehicle!B2</f>
        <v>3442287952.3252296</v>
      </c>
      <c r="F58" s="3"/>
      <c r="G58" s="3"/>
      <c r="H58" s="3"/>
      <c r="I58" s="3"/>
    </row>
    <row r="59" spans="1:9">
      <c r="A59" t="s">
        <v>573</v>
      </c>
      <c r="E59" s="3">
        <f>0.25*E58*(4*(E1-E44)*(E1-E44)+4*(E44*E44))+0.5*E1*E1*E66</f>
        <v>614826512563767</v>
      </c>
      <c r="F59" s="3"/>
      <c r="G59" s="3"/>
      <c r="H59" s="3"/>
      <c r="I59" s="3"/>
    </row>
    <row r="60" spans="1:9">
      <c r="A60" t="s">
        <v>574</v>
      </c>
      <c r="E60" s="3">
        <f>E59*E5</f>
        <v>86075711758927.391</v>
      </c>
      <c r="F60" s="3"/>
      <c r="G60" s="3"/>
      <c r="H60" s="3"/>
      <c r="I60" s="3"/>
    </row>
    <row r="61" spans="1:9">
      <c r="A61" t="s">
        <v>575</v>
      </c>
      <c r="E61" s="4">
        <f>E62-10</f>
        <v>240</v>
      </c>
      <c r="F61" s="3"/>
      <c r="G61" s="3"/>
      <c r="H61" s="3"/>
      <c r="I61" s="3"/>
    </row>
    <row r="62" spans="1:9">
      <c r="A62" t="s">
        <v>572</v>
      </c>
      <c r="E62" s="4">
        <f>FLOOR(E1-E45,1)</f>
        <v>250</v>
      </c>
      <c r="F62" s="3"/>
      <c r="G62" s="3"/>
      <c r="H62" s="3"/>
      <c r="I62" s="3"/>
    </row>
    <row r="63" spans="1:9">
      <c r="B63" t="s">
        <v>585</v>
      </c>
      <c r="E63" s="3">
        <f>(PI()*E62*E62-PI()*E61*E61)</f>
        <v>15393.804002589983</v>
      </c>
      <c r="H63" s="3"/>
      <c r="I63" s="3"/>
    </row>
    <row r="64" spans="1:9">
      <c r="A64" t="s">
        <v>577</v>
      </c>
      <c r="E64" s="4">
        <v>5</v>
      </c>
      <c r="H64" s="3"/>
      <c r="I64" s="3"/>
    </row>
    <row r="65" spans="1:9">
      <c r="A65" t="s">
        <v>581</v>
      </c>
      <c r="E65" s="3">
        <v>8000</v>
      </c>
      <c r="F65" s="3"/>
      <c r="G65" s="3"/>
      <c r="H65" s="3"/>
      <c r="I65" s="3"/>
    </row>
    <row r="66" spans="1:9">
      <c r="A66" t="s">
        <v>571</v>
      </c>
      <c r="E66" s="3">
        <f>E63*E64*E65</f>
        <v>615752160.10359931</v>
      </c>
      <c r="F66" s="39">
        <f>E66/E58</f>
        <v>0.17887874827196404</v>
      </c>
      <c r="G66" s="3"/>
      <c r="H66" s="3"/>
      <c r="I66" s="3"/>
    </row>
    <row r="67" spans="1:9">
      <c r="A67" t="s">
        <v>576</v>
      </c>
      <c r="E67" s="3">
        <f>0.5*E66*(E62*E62+E61*E61)</f>
        <v>36975917214221.141</v>
      </c>
      <c r="F67" s="3"/>
      <c r="G67" s="3"/>
      <c r="H67" s="3"/>
      <c r="I67" s="3"/>
    </row>
    <row r="68" spans="1:9">
      <c r="A68" t="s">
        <v>578</v>
      </c>
      <c r="E68" s="3">
        <f>E60/E67</f>
        <v>2.3278857765784426</v>
      </c>
      <c r="F68" s="4">
        <f>E68*30/PI()</f>
        <v>22.229671697746479</v>
      </c>
    </row>
  </sheetData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7A36E-F675-1441-A197-69A5DDF8AA03}">
  <dimension ref="A1:V138"/>
  <sheetViews>
    <sheetView workbookViewId="0"/>
  </sheetViews>
  <sheetFormatPr baseColWidth="10" defaultRowHeight="16"/>
  <cols>
    <col min="3" max="3" width="9.1640625" customWidth="1"/>
    <col min="4" max="4" width="8.1640625" customWidth="1"/>
    <col min="5" max="5" width="12.83203125" bestFit="1" customWidth="1"/>
    <col min="7" max="7" width="13.6640625" bestFit="1" customWidth="1"/>
    <col min="9" max="9" width="11.83203125" bestFit="1" customWidth="1"/>
    <col min="19" max="19" width="11.6640625" bestFit="1" customWidth="1"/>
    <col min="20" max="20" width="11.6640625" customWidth="1"/>
  </cols>
  <sheetData>
    <row r="1" spans="1:22">
      <c r="A1" t="s">
        <v>729</v>
      </c>
      <c r="C1">
        <f>Geometry!C18</f>
        <v>51</v>
      </c>
      <c r="I1" t="s">
        <v>845</v>
      </c>
      <c r="J1">
        <f>Geometry!J2</f>
        <v>889.19158333567236</v>
      </c>
    </row>
    <row r="2" spans="1:22">
      <c r="A2" t="s">
        <v>923</v>
      </c>
      <c r="C2" s="4">
        <f>Geometry!E2</f>
        <v>500</v>
      </c>
    </row>
    <row r="3" spans="1:22">
      <c r="A3" t="s">
        <v>725</v>
      </c>
      <c r="C3">
        <f>Geometry!B31</f>
        <v>0</v>
      </c>
      <c r="E3" t="s">
        <v>830</v>
      </c>
      <c r="F3">
        <f>Vehicle!B2</f>
        <v>1</v>
      </c>
      <c r="G3" s="94"/>
      <c r="I3" s="94">
        <f>SQRT(J1*(SQRT(3))/2)</f>
        <v>27.749999999999996</v>
      </c>
      <c r="J3" s="94">
        <f>I3*2</f>
        <v>55.499999999999993</v>
      </c>
      <c r="K3" s="94">
        <f>J3*10</f>
        <v>554.99999999999989</v>
      </c>
      <c r="L3" s="94"/>
      <c r="M3" s="94"/>
      <c r="N3" s="94">
        <f>390*COS(120/180*PI())</f>
        <v>-194.99999999999991</v>
      </c>
      <c r="P3">
        <f>(12.5)*PI()</f>
        <v>39.269908169872416</v>
      </c>
      <c r="Q3">
        <f>5/P3</f>
        <v>0.12732395447351627</v>
      </c>
      <c r="U3">
        <v>0.06</v>
      </c>
      <c r="V3">
        <f>5/U3</f>
        <v>83.333333333333343</v>
      </c>
    </row>
    <row r="4" spans="1:22">
      <c r="A4" t="s">
        <v>726</v>
      </c>
      <c r="C4">
        <v>5</v>
      </c>
      <c r="E4" s="94" t="s">
        <v>829</v>
      </c>
      <c r="F4" s="125">
        <f>Geometry!E37</f>
        <v>250</v>
      </c>
      <c r="G4" s="94"/>
      <c r="I4" s="94"/>
      <c r="J4" s="94">
        <f>364/J3</f>
        <v>6.5585585585585591</v>
      </c>
      <c r="N4" s="94">
        <f>390*SIN(120/180*PI())</f>
        <v>337.74990747593108</v>
      </c>
      <c r="P4">
        <f>32*4</f>
        <v>128</v>
      </c>
      <c r="Q4">
        <f>5/P4</f>
        <v>3.90625E-2</v>
      </c>
      <c r="S4">
        <f>15/P4</f>
        <v>0.1171875</v>
      </c>
    </row>
    <row r="5" spans="1:22">
      <c r="A5" t="s">
        <v>938</v>
      </c>
      <c r="C5">
        <v>20</v>
      </c>
      <c r="E5" s="94" t="s">
        <v>926</v>
      </c>
      <c r="F5" s="125">
        <f>Geometry!E1</f>
        <v>500</v>
      </c>
      <c r="G5" s="94"/>
      <c r="H5" s="94"/>
    </row>
    <row r="6" spans="1:22">
      <c r="A6" t="s">
        <v>728</v>
      </c>
      <c r="C6">
        <v>5</v>
      </c>
      <c r="E6" t="s">
        <v>832</v>
      </c>
      <c r="F6" s="54">
        <f>Geometry!C10</f>
        <v>250</v>
      </c>
      <c r="G6" s="94"/>
      <c r="H6" s="94"/>
    </row>
    <row r="7" spans="1:22">
      <c r="A7" t="s">
        <v>301</v>
      </c>
      <c r="B7" t="s">
        <v>696</v>
      </c>
      <c r="C7" t="s">
        <v>589</v>
      </c>
      <c r="D7" t="s">
        <v>348</v>
      </c>
      <c r="E7" t="s">
        <v>351</v>
      </c>
      <c r="G7" t="s">
        <v>349</v>
      </c>
      <c r="I7" t="s">
        <v>211</v>
      </c>
      <c r="J7" t="s">
        <v>844</v>
      </c>
      <c r="K7" t="s">
        <v>308</v>
      </c>
      <c r="L7" t="s">
        <v>927</v>
      </c>
      <c r="M7" t="s">
        <v>592</v>
      </c>
      <c r="N7" t="s">
        <v>846</v>
      </c>
      <c r="O7" t="s">
        <v>697</v>
      </c>
      <c r="P7" t="s">
        <v>698</v>
      </c>
      <c r="Q7" t="s">
        <v>872</v>
      </c>
      <c r="R7" t="s">
        <v>939</v>
      </c>
      <c r="S7" t="s">
        <v>704</v>
      </c>
      <c r="T7" t="s">
        <v>929</v>
      </c>
      <c r="U7" t="s">
        <v>728</v>
      </c>
    </row>
    <row r="8" spans="1:22">
      <c r="B8" s="54">
        <f>$F$5-D8</f>
        <v>250</v>
      </c>
      <c r="D8" s="54">
        <f>F4</f>
        <v>250</v>
      </c>
      <c r="E8" s="54">
        <f>F6</f>
        <v>250</v>
      </c>
      <c r="F8" s="4">
        <f>Geometry!$D$12*D8</f>
        <v>4.9000000000000004</v>
      </c>
      <c r="G8" s="4">
        <f>IF(H8&gt;0,F8/9.8,0)</f>
        <v>0.5</v>
      </c>
      <c r="H8" s="4">
        <f>IF(D8&lt;=$F$5,1,0)</f>
        <v>1</v>
      </c>
      <c r="I8" s="5"/>
      <c r="J8" s="5"/>
      <c r="K8" s="5"/>
      <c r="L8" s="5"/>
    </row>
    <row r="9" spans="1:22">
      <c r="A9" s="7">
        <v>1</v>
      </c>
      <c r="B9" s="54">
        <f>B8-(D9-D8)</f>
        <v>245</v>
      </c>
      <c r="C9" s="7">
        <v>1</v>
      </c>
      <c r="D9" s="63">
        <f>D8+LOOKUP(C9,Geometry!$J$29:$K$35)</f>
        <v>255</v>
      </c>
      <c r="E9" s="63">
        <f>E8-(D9-D8)</f>
        <v>245</v>
      </c>
      <c r="F9" s="12">
        <f>Geometry!$D$12*D9</f>
        <v>4.9980000000000011</v>
      </c>
      <c r="G9" s="4">
        <f t="shared" ref="G9:G25" si="0">IF(H9&gt;0,F9/9.8,0)</f>
        <v>0.51000000000000012</v>
      </c>
      <c r="H9" s="4">
        <f t="shared" ref="H9:H16" si="1">IF(D9&lt;=$F$5,1,0)</f>
        <v>1</v>
      </c>
      <c r="I9" s="15">
        <f>IF(D9&lt;=$F$5,D9*2*PI()*$C$2*H9,0)</f>
        <v>801106.1266653972</v>
      </c>
      <c r="J9" s="15">
        <f t="shared" ref="J9:J19" si="2">FLOOR(I9/$J$1,1)</f>
        <v>900</v>
      </c>
      <c r="K9" s="15">
        <f>J9*Geometry!$J$2</f>
        <v>800272.42500210507</v>
      </c>
      <c r="L9" s="15">
        <f>J9*$J$1*0.9</f>
        <v>720245.18250189454</v>
      </c>
      <c r="M9" s="54">
        <f>L9*(Vehicle!$H$22)</f>
        <v>98952.349400928986</v>
      </c>
      <c r="N9" s="54">
        <f>L9*IF(MOD(E9,$C$5)&lt;1,Vehicle!$H$21,0)</f>
        <v>0</v>
      </c>
      <c r="O9" s="54">
        <f>L9*(Vehicle!$H$23)</f>
        <v>6041.0693630959313</v>
      </c>
      <c r="P9" s="54">
        <f>L9*IF(MOD(E9,$C$5)&lt;1,Vehicle!$H$24,0)</f>
        <v>0</v>
      </c>
      <c r="Q9" s="54">
        <f>L9*(Vehicle!$H$25)</f>
        <v>20748.346104019904</v>
      </c>
      <c r="R9" s="54">
        <f>L9*(Vehicle!$H$26)</f>
        <v>4998.4086628994755</v>
      </c>
      <c r="S9" s="54">
        <f>L9*IF(MOD(E9,$C$5)&lt;1,Vehicle!$H$27,0)</f>
        <v>0</v>
      </c>
      <c r="T9" s="54"/>
      <c r="U9" s="54">
        <f t="shared" ref="U9:U16" si="3">(K9-SUM(M9:S9))*0.25</f>
        <v>167383.0628677902</v>
      </c>
    </row>
    <row r="10" spans="1:22">
      <c r="A10" s="7">
        <f t="shared" ref="A10:A73" si="4">A9+1</f>
        <v>2</v>
      </c>
      <c r="B10" s="54">
        <f t="shared" ref="B10:B16" si="5">B9-(D10-D9)</f>
        <v>240</v>
      </c>
      <c r="C10" s="7">
        <v>1</v>
      </c>
      <c r="D10" s="63">
        <f>D9+LOOKUP(C10,Geometry!$J$29:$K$35)</f>
        <v>260</v>
      </c>
      <c r="E10" s="63">
        <f t="shared" ref="E10:E16" si="6">E9-(D10-D9)</f>
        <v>240</v>
      </c>
      <c r="F10" s="12">
        <f>Geometry!$D$12*D10</f>
        <v>5.096000000000001</v>
      </c>
      <c r="G10" s="4">
        <f t="shared" si="0"/>
        <v>0.52</v>
      </c>
      <c r="H10" s="4">
        <f t="shared" si="1"/>
        <v>1</v>
      </c>
      <c r="I10" s="15">
        <f t="shared" ref="I10:I19" si="7">IF(D10&lt;=$F$5,D10*2*PI()*$C$2*H10,0)</f>
        <v>816814.08993334614</v>
      </c>
      <c r="J10" s="15">
        <f t="shared" si="2"/>
        <v>918</v>
      </c>
      <c r="K10" s="15">
        <f>J10*Geometry!$J$2</f>
        <v>816277.87350214727</v>
      </c>
      <c r="L10" s="15">
        <f>J10*$J$1*0.9</f>
        <v>734650.0861519326</v>
      </c>
      <c r="M10" s="54">
        <f>L10*(Vehicle!$H$22)</f>
        <v>100931.39638894759</v>
      </c>
      <c r="N10" s="54">
        <f>L10*IF(MOD(E10,$C$5)&lt;1,Vehicle!$H$21,0)</f>
        <v>182616.20726670852</v>
      </c>
      <c r="O10" s="54">
        <f>L10*(Vehicle!$H$23)</f>
        <v>6161.8907503578512</v>
      </c>
      <c r="P10" s="54">
        <f>L10*IF(MOD(E10,$C$5)&lt;1,Vehicle!$H$24,0)</f>
        <v>13515.594042813922</v>
      </c>
      <c r="Q10" s="54">
        <f>L10*(Vehicle!$H$25)</f>
        <v>21163.313026100306</v>
      </c>
      <c r="R10" s="54">
        <f>L10*(Vehicle!$H$26)</f>
        <v>5098.3768361574657</v>
      </c>
      <c r="S10" s="54">
        <f>L10*IF(MOD(E10,$C$5)&lt;1,Vehicle!$H$27,0)</f>
        <v>5098.3768361574657</v>
      </c>
      <c r="T10" s="54"/>
      <c r="U10" s="54">
        <f t="shared" si="3"/>
        <v>120423.17958872605</v>
      </c>
    </row>
    <row r="11" spans="1:22">
      <c r="A11" s="7">
        <f t="shared" si="4"/>
        <v>3</v>
      </c>
      <c r="B11" s="54">
        <f t="shared" si="5"/>
        <v>235</v>
      </c>
      <c r="C11" s="7">
        <v>1</v>
      </c>
      <c r="D11" s="63">
        <f>D10+LOOKUP(C11,Geometry!$J$29:$K$35)</f>
        <v>265</v>
      </c>
      <c r="E11" s="63">
        <f t="shared" si="6"/>
        <v>235</v>
      </c>
      <c r="F11" s="12">
        <f>Geometry!$D$12*D11</f>
        <v>5.1940000000000008</v>
      </c>
      <c r="G11" s="4">
        <f t="shared" si="0"/>
        <v>0.53</v>
      </c>
      <c r="H11" s="4">
        <f t="shared" si="1"/>
        <v>1</v>
      </c>
      <c r="I11" s="15">
        <f t="shared" si="7"/>
        <v>832522.0532012952</v>
      </c>
      <c r="J11" s="15">
        <f t="shared" si="2"/>
        <v>936</v>
      </c>
      <c r="K11" s="15">
        <f>J11*Geometry!$J$2</f>
        <v>832283.32200218935</v>
      </c>
      <c r="L11" s="15">
        <f t="shared" ref="L11:L73" si="8">J11*$J$1*0.9</f>
        <v>749054.98980197043</v>
      </c>
      <c r="M11" s="54">
        <f>L11*(Vehicle!$H$22)</f>
        <v>102910.44337696616</v>
      </c>
      <c r="N11" s="54">
        <f>L11*IF(MOD(E11,$C$5)&lt;1,Vehicle!$H$21,0)</f>
        <v>0</v>
      </c>
      <c r="O11" s="54">
        <f>L11*(Vehicle!$H$23)</f>
        <v>6282.7121376197692</v>
      </c>
      <c r="P11" s="54">
        <f>L11*IF(MOD(E11,$C$5)&lt;1,Vehicle!$H$24,0)</f>
        <v>0</v>
      </c>
      <c r="Q11" s="54">
        <f>L11*(Vehicle!$H$25)</f>
        <v>21578.279948180701</v>
      </c>
      <c r="R11" s="54">
        <f>L11*(Vehicle!$H$26)</f>
        <v>5198.345009415455</v>
      </c>
      <c r="S11" s="54">
        <f>L11*IF(MOD(E11,$C$5)&lt;1,Vehicle!$H$27,0)</f>
        <v>0</v>
      </c>
      <c r="T11" s="54"/>
      <c r="U11" s="54">
        <f t="shared" si="3"/>
        <v>174078.38538250182</v>
      </c>
    </row>
    <row r="12" spans="1:22">
      <c r="A12" s="7">
        <f t="shared" si="4"/>
        <v>4</v>
      </c>
      <c r="B12" s="54">
        <f t="shared" si="5"/>
        <v>230</v>
      </c>
      <c r="C12" s="7">
        <v>1</v>
      </c>
      <c r="D12" s="63">
        <f>D11+LOOKUP(C12,Geometry!$J$29:$K$35)</f>
        <v>270</v>
      </c>
      <c r="E12" s="63">
        <f t="shared" si="6"/>
        <v>230</v>
      </c>
      <c r="F12" s="12">
        <f>Geometry!$D$12*D12</f>
        <v>5.2920000000000007</v>
      </c>
      <c r="G12" s="4">
        <f t="shared" si="0"/>
        <v>0.54</v>
      </c>
      <c r="H12" s="4">
        <f t="shared" si="1"/>
        <v>1</v>
      </c>
      <c r="I12" s="15">
        <f t="shared" si="7"/>
        <v>848230.01646924415</v>
      </c>
      <c r="J12" s="15">
        <f t="shared" si="2"/>
        <v>953</v>
      </c>
      <c r="K12" s="15">
        <f>J12*Geometry!$J$2</f>
        <v>847399.5789188958</v>
      </c>
      <c r="L12" s="15">
        <f t="shared" si="8"/>
        <v>762659.62102700619</v>
      </c>
      <c r="M12" s="54">
        <f>L12*(Vehicle!$H$22)</f>
        <v>104779.54331009481</v>
      </c>
      <c r="N12" s="54">
        <f>L12*IF(MOD(E12,$C$5)&lt;1,Vehicle!$H$21,0)</f>
        <v>0</v>
      </c>
      <c r="O12" s="54">
        <f>L12*(Vehicle!$H$23)</f>
        <v>6396.8212255893586</v>
      </c>
      <c r="P12" s="54">
        <f>L12*IF(MOD(E12,$C$5)&lt;1,Vehicle!$H$24,0)</f>
        <v>0</v>
      </c>
      <c r="Q12" s="54">
        <f>L12*(Vehicle!$H$25)</f>
        <v>21970.193152367745</v>
      </c>
      <c r="R12" s="54">
        <f>L12*(Vehicle!$H$26)</f>
        <v>5292.7593952702227</v>
      </c>
      <c r="S12" s="54">
        <f>L12*IF(MOD(E12,$C$5)&lt;1,Vehicle!$H$27,0)</f>
        <v>0</v>
      </c>
      <c r="T12" s="54"/>
      <c r="U12" s="54">
        <f t="shared" si="3"/>
        <v>177240.06545889343</v>
      </c>
    </row>
    <row r="13" spans="1:22">
      <c r="A13" s="7">
        <f t="shared" si="4"/>
        <v>5</v>
      </c>
      <c r="B13" s="54">
        <f t="shared" si="5"/>
        <v>225</v>
      </c>
      <c r="C13" s="7">
        <v>1</v>
      </c>
      <c r="D13" s="63">
        <f>D12+LOOKUP(C13,Geometry!$J$29:$K$35)</f>
        <v>275</v>
      </c>
      <c r="E13" s="63">
        <f t="shared" si="6"/>
        <v>225</v>
      </c>
      <c r="F13" s="12">
        <f>Geometry!$D$12*D13</f>
        <v>5.3900000000000006</v>
      </c>
      <c r="G13" s="4">
        <f t="shared" si="0"/>
        <v>0.55000000000000004</v>
      </c>
      <c r="H13" s="4">
        <f t="shared" si="1"/>
        <v>1</v>
      </c>
      <c r="I13" s="15">
        <f t="shared" si="7"/>
        <v>863937.97973719309</v>
      </c>
      <c r="J13" s="15">
        <f t="shared" si="2"/>
        <v>971</v>
      </c>
      <c r="K13" s="15">
        <f>J13*Geometry!$J$2</f>
        <v>863405.02741893788</v>
      </c>
      <c r="L13" s="15">
        <f t="shared" si="8"/>
        <v>777064.52467704413</v>
      </c>
      <c r="M13" s="54">
        <f>L13*(Vehicle!$H$22)</f>
        <v>106758.5902981134</v>
      </c>
      <c r="N13" s="54">
        <f>L13*IF(MOD(E13,$C$5)&lt;1,Vehicle!$H$21,0)</f>
        <v>0</v>
      </c>
      <c r="O13" s="54">
        <f>L13*(Vehicle!$H$23)</f>
        <v>6517.6426128512776</v>
      </c>
      <c r="P13" s="54">
        <f>L13*IF(MOD(E13,$C$5)&lt;1,Vehicle!$H$24,0)</f>
        <v>0</v>
      </c>
      <c r="Q13" s="54">
        <f>L13*(Vehicle!$H$25)</f>
        <v>22385.160074448144</v>
      </c>
      <c r="R13" s="54">
        <f>L13*(Vehicle!$H$26)</f>
        <v>5392.7275685282129</v>
      </c>
      <c r="S13" s="54">
        <f>L13*IF(MOD(E13,$C$5)&lt;1,Vehicle!$H$27,0)</f>
        <v>0</v>
      </c>
      <c r="T13" s="54"/>
      <c r="U13" s="54">
        <f t="shared" si="3"/>
        <v>180587.72671624922</v>
      </c>
    </row>
    <row r="14" spans="1:22">
      <c r="A14" s="7">
        <f t="shared" si="4"/>
        <v>6</v>
      </c>
      <c r="B14" s="54">
        <f t="shared" si="5"/>
        <v>220</v>
      </c>
      <c r="C14" s="7">
        <v>1</v>
      </c>
      <c r="D14" s="63">
        <f>D13+LOOKUP(C14,Geometry!$J$29:$K$35)</f>
        <v>280</v>
      </c>
      <c r="E14" s="63">
        <f t="shared" si="6"/>
        <v>220</v>
      </c>
      <c r="F14" s="12">
        <f>Geometry!$D$12*D14</f>
        <v>5.4880000000000004</v>
      </c>
      <c r="G14" s="4">
        <f t="shared" si="0"/>
        <v>0.56000000000000005</v>
      </c>
      <c r="H14" s="4">
        <f t="shared" si="1"/>
        <v>1</v>
      </c>
      <c r="I14" s="15">
        <f t="shared" si="7"/>
        <v>879645.94300514203</v>
      </c>
      <c r="J14" s="15">
        <f t="shared" si="2"/>
        <v>989</v>
      </c>
      <c r="K14" s="15">
        <f>J14*Geometry!$J$2</f>
        <v>879410.47591897997</v>
      </c>
      <c r="L14" s="15">
        <f t="shared" si="8"/>
        <v>791469.42832708196</v>
      </c>
      <c r="M14" s="54">
        <f>L14*(Vehicle!$H$22)</f>
        <v>108737.63728613197</v>
      </c>
      <c r="N14" s="54">
        <f>L14*IF(MOD(E14,$C$5)&lt;1,Vehicle!$H$21,0)</f>
        <v>196740.11872197679</v>
      </c>
      <c r="O14" s="54">
        <f>L14*(Vehicle!$H$23)</f>
        <v>6638.4640001131957</v>
      </c>
      <c r="P14" s="54">
        <f>L14*IF(MOD(E14,$C$5)&lt;1,Vehicle!$H$24,0)</f>
        <v>14560.917765079485</v>
      </c>
      <c r="Q14" s="54">
        <f>L14*(Vehicle!$H$25)</f>
        <v>22800.126996528539</v>
      </c>
      <c r="R14" s="54">
        <f>L14*(Vehicle!$H$26)</f>
        <v>5492.6957417862013</v>
      </c>
      <c r="S14" s="54">
        <f>L14*IF(MOD(E14,$C$5)&lt;1,Vehicle!$H$27,0)</f>
        <v>5492.6957417862013</v>
      </c>
      <c r="T14" s="54"/>
      <c r="U14" s="54">
        <f t="shared" si="3"/>
        <v>129736.9549163944</v>
      </c>
    </row>
    <row r="15" spans="1:22">
      <c r="A15" s="7">
        <f t="shared" si="4"/>
        <v>7</v>
      </c>
      <c r="B15" s="54">
        <f t="shared" si="5"/>
        <v>215</v>
      </c>
      <c r="C15" s="7">
        <v>1</v>
      </c>
      <c r="D15" s="63">
        <f>D14+LOOKUP(C15,Geometry!$J$29:$K$35)</f>
        <v>285</v>
      </c>
      <c r="E15" s="63">
        <f t="shared" si="6"/>
        <v>215</v>
      </c>
      <c r="F15" s="12">
        <f>Geometry!$D$12*D15</f>
        <v>5.5860000000000012</v>
      </c>
      <c r="G15" s="4">
        <f t="shared" si="0"/>
        <v>0.57000000000000006</v>
      </c>
      <c r="H15" s="4">
        <f t="shared" si="1"/>
        <v>1</v>
      </c>
      <c r="I15" s="15">
        <f t="shared" si="7"/>
        <v>895353.9062730911</v>
      </c>
      <c r="J15" s="15">
        <f t="shared" si="2"/>
        <v>1006</v>
      </c>
      <c r="K15" s="15">
        <f>J15*Geometry!$J$2</f>
        <v>894526.73283568642</v>
      </c>
      <c r="L15" s="15">
        <f t="shared" si="8"/>
        <v>805074.05955211783</v>
      </c>
      <c r="M15" s="54">
        <f>L15*(Vehicle!$H$22)</f>
        <v>110606.73721926064</v>
      </c>
      <c r="N15" s="54">
        <f>L15*IF(MOD(E15,$C$5)&lt;1,Vehicle!$H$21,0)</f>
        <v>0</v>
      </c>
      <c r="O15" s="54">
        <f>L15*(Vehicle!$H$23)</f>
        <v>6752.5730880827859</v>
      </c>
      <c r="P15" s="54">
        <f>L15*IF(MOD(E15,$C$5)&lt;1,Vehicle!$H$24,0)</f>
        <v>0</v>
      </c>
      <c r="Q15" s="54">
        <f>L15*(Vehicle!$H$25)</f>
        <v>23192.040200715586</v>
      </c>
      <c r="R15" s="54">
        <f>L15*(Vehicle!$H$26)</f>
        <v>5587.1101276409699</v>
      </c>
      <c r="S15" s="54">
        <f>L15*IF(MOD(E15,$C$5)&lt;1,Vehicle!$H$27,0)</f>
        <v>0</v>
      </c>
      <c r="T15" s="54"/>
      <c r="U15" s="54">
        <f t="shared" si="3"/>
        <v>187097.0680499966</v>
      </c>
    </row>
    <row r="16" spans="1:22">
      <c r="A16" s="7">
        <f t="shared" si="4"/>
        <v>8</v>
      </c>
      <c r="B16" s="54">
        <f t="shared" si="5"/>
        <v>210</v>
      </c>
      <c r="C16" s="7">
        <v>1</v>
      </c>
      <c r="D16" s="63">
        <f>D15+LOOKUP(C16,Geometry!$J$29:$K$35)</f>
        <v>290</v>
      </c>
      <c r="E16" s="63">
        <f t="shared" si="6"/>
        <v>210</v>
      </c>
      <c r="F16" s="12">
        <f>Geometry!$D$12*D16</f>
        <v>5.6840000000000011</v>
      </c>
      <c r="G16" s="4">
        <f t="shared" si="0"/>
        <v>0.58000000000000007</v>
      </c>
      <c r="H16" s="4">
        <f t="shared" si="1"/>
        <v>1</v>
      </c>
      <c r="I16" s="15">
        <f t="shared" si="7"/>
        <v>911061.86954104004</v>
      </c>
      <c r="J16" s="15">
        <f t="shared" si="2"/>
        <v>1024</v>
      </c>
      <c r="K16" s="15">
        <f>J16*Geometry!$J$2</f>
        <v>910532.1813357285</v>
      </c>
      <c r="L16" s="15">
        <f t="shared" si="8"/>
        <v>819478.96320215566</v>
      </c>
      <c r="M16" s="54">
        <f>L16*(Vehicle!$H$22)</f>
        <v>112585.78420727921</v>
      </c>
      <c r="N16" s="54">
        <f>L16*IF(MOD(E16,$C$5)&lt;1,Vehicle!$H$21,0)</f>
        <v>0</v>
      </c>
      <c r="O16" s="54">
        <f>L16*(Vehicle!$H$23)</f>
        <v>6873.394475344704</v>
      </c>
      <c r="P16" s="54">
        <f>L16*IF(MOD(E16,$C$5)&lt;1,Vehicle!$H$24,0)</f>
        <v>0</v>
      </c>
      <c r="Q16" s="54">
        <f>L16*(Vehicle!$H$25)</f>
        <v>23607.007122795982</v>
      </c>
      <c r="R16" s="54">
        <f>L16*(Vehicle!$H$26)</f>
        <v>5687.0783008989592</v>
      </c>
      <c r="S16" s="54">
        <f>L16*IF(MOD(E16,$C$5)&lt;1,Vehicle!$H$27,0)</f>
        <v>0</v>
      </c>
      <c r="T16" s="54"/>
      <c r="U16" s="54">
        <f t="shared" si="3"/>
        <v>190444.72930735242</v>
      </c>
    </row>
    <row r="17" spans="1:21">
      <c r="A17" s="7">
        <f t="shared" si="4"/>
        <v>9</v>
      </c>
      <c r="B17" s="54">
        <f t="shared" ref="B17" si="9">B16-(D17-D16)</f>
        <v>205</v>
      </c>
      <c r="C17" s="7">
        <v>1</v>
      </c>
      <c r="D17" s="63">
        <f>D16+LOOKUP(C17,Geometry!$J$29:$K$35)</f>
        <v>295</v>
      </c>
      <c r="E17" s="63">
        <f t="shared" ref="E17" si="10">E16-(D17-D16)</f>
        <v>205</v>
      </c>
      <c r="F17" s="12">
        <f>Geometry!$D$12*D17</f>
        <v>5.7820000000000009</v>
      </c>
      <c r="G17" s="4">
        <f t="shared" si="0"/>
        <v>0.59000000000000008</v>
      </c>
      <c r="H17" s="4">
        <f t="shared" ref="H17" si="11">IF(D17&lt;=$F$5,1,0)</f>
        <v>1</v>
      </c>
      <c r="I17" s="15">
        <f t="shared" si="7"/>
        <v>926769.83280898898</v>
      </c>
      <c r="J17" s="15">
        <f t="shared" si="2"/>
        <v>1042</v>
      </c>
      <c r="K17" s="15">
        <f>J17*Geometry!$J$2</f>
        <v>926537.62983577058</v>
      </c>
      <c r="L17" s="15">
        <f t="shared" si="8"/>
        <v>833883.86685219349</v>
      </c>
      <c r="M17" s="54">
        <f>L17*(Vehicle!$H$22)</f>
        <v>114564.83119529778</v>
      </c>
      <c r="N17" s="54">
        <f>L17*IF(MOD(E17,$C$5)&lt;1,Vehicle!$H$21,0)</f>
        <v>0</v>
      </c>
      <c r="O17" s="54">
        <f>L17*(Vehicle!$H$23)</f>
        <v>6994.2158626066221</v>
      </c>
      <c r="P17" s="54">
        <f>L17*IF(MOD(E17,$C$5)&lt;1,Vehicle!$H$24,0)</f>
        <v>0</v>
      </c>
      <c r="Q17" s="54">
        <f>L17*(Vehicle!$H$25)</f>
        <v>24021.974044876377</v>
      </c>
      <c r="R17" s="54">
        <f>L17*(Vehicle!$H$26)</f>
        <v>5787.0464741569485</v>
      </c>
      <c r="S17" s="54">
        <f>L17*IF(MOD(E17,$C$5)&lt;1,Vehicle!$H$27,0)</f>
        <v>0</v>
      </c>
      <c r="T17" s="54"/>
      <c r="U17" s="54">
        <f t="shared" ref="U17" si="12">(K17-SUM(M17:S17))*0.25</f>
        <v>193792.39056470821</v>
      </c>
    </row>
    <row r="18" spans="1:21">
      <c r="A18" s="7">
        <f t="shared" si="4"/>
        <v>10</v>
      </c>
      <c r="B18" s="54">
        <f t="shared" ref="B18" si="13">B17-(D18-D17)</f>
        <v>200</v>
      </c>
      <c r="C18" s="7">
        <v>1</v>
      </c>
      <c r="D18" s="63">
        <f>D17+LOOKUP(C18,Geometry!$J$29:$K$35)</f>
        <v>300</v>
      </c>
      <c r="E18" s="63">
        <f t="shared" ref="E18" si="14">E17-(D18-D17)</f>
        <v>200</v>
      </c>
      <c r="F18" s="12">
        <f>Geometry!$D$12*D18</f>
        <v>5.8800000000000008</v>
      </c>
      <c r="G18" s="4">
        <f t="shared" si="0"/>
        <v>0.60000000000000009</v>
      </c>
      <c r="H18" s="4">
        <f t="shared" ref="H18" si="15">IF(D18&lt;=$F$5,1,0)</f>
        <v>1</v>
      </c>
      <c r="I18" s="15">
        <f t="shared" si="7"/>
        <v>942477.79607693793</v>
      </c>
      <c r="J18" s="15">
        <f t="shared" si="2"/>
        <v>1059</v>
      </c>
      <c r="K18" s="15">
        <f>J18*Geometry!$J$2</f>
        <v>941653.88675247703</v>
      </c>
      <c r="L18" s="15">
        <f t="shared" si="8"/>
        <v>847488.49807722936</v>
      </c>
      <c r="M18" s="54">
        <f>L18*(Vehicle!$H$22)</f>
        <v>116433.93112842645</v>
      </c>
      <c r="N18" s="54">
        <f>L18*IF(MOD(E18,$C$5)&lt;1,Vehicle!$H$21,0)</f>
        <v>210665.10184688921</v>
      </c>
      <c r="O18" s="54">
        <f>L18*(Vehicle!$H$23)</f>
        <v>7108.3249505762133</v>
      </c>
      <c r="P18" s="54">
        <f>L18*IF(MOD(E18,$C$5)&lt;1,Vehicle!$H$24,0)</f>
        <v>15591.518618017366</v>
      </c>
      <c r="Q18" s="54">
        <f>L18*(Vehicle!$H$25)</f>
        <v>24413.887249063424</v>
      </c>
      <c r="R18" s="54">
        <f>L18*(Vehicle!$H$26)</f>
        <v>5881.4608600117172</v>
      </c>
      <c r="S18" s="54">
        <f>L18*IF(MOD(E18,$C$5)&lt;1,Vehicle!$H$27,0)</f>
        <v>5881.4608600117172</v>
      </c>
      <c r="T18" s="54"/>
      <c r="U18" s="54">
        <f t="shared" ref="U18" si="16">(K18-SUM(M18:S18))*0.25</f>
        <v>138919.55030987022</v>
      </c>
    </row>
    <row r="19" spans="1:21">
      <c r="A19" s="7">
        <f t="shared" si="4"/>
        <v>11</v>
      </c>
      <c r="B19" s="54">
        <f t="shared" ref="B19" si="17">B18-(D19-D18)</f>
        <v>195</v>
      </c>
      <c r="C19" s="7">
        <v>1</v>
      </c>
      <c r="D19" s="63">
        <f>D18+LOOKUP(C19,Geometry!$J$29:$K$35)</f>
        <v>305</v>
      </c>
      <c r="E19" s="63">
        <f t="shared" ref="E19" si="18">E18-(D19-D18)</f>
        <v>195</v>
      </c>
      <c r="F19" s="12">
        <f>Geometry!$D$12*D19</f>
        <v>5.9780000000000006</v>
      </c>
      <c r="G19" s="4">
        <f t="shared" si="0"/>
        <v>0.61</v>
      </c>
      <c r="H19" s="4">
        <f t="shared" ref="H19" si="19">IF(D19&lt;=$F$5,1,0)</f>
        <v>1</v>
      </c>
      <c r="I19" s="15">
        <f t="shared" si="7"/>
        <v>958185.75934488699</v>
      </c>
      <c r="J19" s="15">
        <f t="shared" si="2"/>
        <v>1077</v>
      </c>
      <c r="K19" s="15">
        <f>J19*Geometry!$J$2</f>
        <v>957659.33525251911</v>
      </c>
      <c r="L19" s="15">
        <f t="shared" si="8"/>
        <v>861893.40172726719</v>
      </c>
      <c r="M19" s="54">
        <f>L19*(Vehicle!$H$22)</f>
        <v>118412.97811644503</v>
      </c>
      <c r="N19" s="54">
        <f>L19*IF(MOD(E19,$C$5)&lt;1,Vehicle!$H$21,0)</f>
        <v>0</v>
      </c>
      <c r="O19" s="54">
        <f>L19*(Vehicle!$H$23)</f>
        <v>7229.1463378381313</v>
      </c>
      <c r="P19" s="54">
        <f>L19*IF(MOD(E19,$C$5)&lt;1,Vehicle!$H$24,0)</f>
        <v>0</v>
      </c>
      <c r="Q19" s="54">
        <f>L19*(Vehicle!$H$25)</f>
        <v>24828.854171143819</v>
      </c>
      <c r="R19" s="54">
        <f>L19*(Vehicle!$H$26)</f>
        <v>5981.4290332697055</v>
      </c>
      <c r="S19" s="54">
        <f>L19*IF(MOD(E19,$C$5)&lt;1,Vehicle!$H$27,0)</f>
        <v>0</v>
      </c>
      <c r="T19" s="54"/>
      <c r="U19" s="54">
        <f t="shared" ref="U19" si="20">(K19-SUM(M19:S19))*0.25</f>
        <v>200301.73189845562</v>
      </c>
    </row>
    <row r="20" spans="1:21">
      <c r="A20" s="7">
        <f t="shared" si="4"/>
        <v>12</v>
      </c>
      <c r="B20" s="54">
        <f t="shared" ref="B20:B25" si="21">B19-(D20-D19)</f>
        <v>190</v>
      </c>
      <c r="C20" s="7">
        <v>1</v>
      </c>
      <c r="D20" s="63">
        <f>D19+LOOKUP(C20,Geometry!$J$29:$K$35)</f>
        <v>310</v>
      </c>
      <c r="E20" s="63">
        <f t="shared" ref="E20:E25" si="22">E19-(D20-D19)</f>
        <v>190</v>
      </c>
      <c r="F20" s="12">
        <f>Geometry!$D$12*D20</f>
        <v>6.0760000000000005</v>
      </c>
      <c r="G20" s="4">
        <f t="shared" si="0"/>
        <v>0.62</v>
      </c>
      <c r="H20" s="4">
        <f t="shared" ref="H20:H25" si="23">IF(D20&lt;=$F$5,1,0)</f>
        <v>1</v>
      </c>
      <c r="I20" s="15">
        <f t="shared" ref="I20:I25" si="24">IF(D20&lt;=$F$5,D20*2*PI()*$C$2*H20,0)</f>
        <v>973893.72261283582</v>
      </c>
      <c r="J20" s="15">
        <f t="shared" ref="J20:J25" si="25">FLOOR(I20/$J$1,1)</f>
        <v>1095</v>
      </c>
      <c r="K20" s="15">
        <f>J20*Geometry!$J$2</f>
        <v>973664.7837525612</v>
      </c>
      <c r="L20" s="15">
        <f t="shared" si="8"/>
        <v>876298.30537730514</v>
      </c>
      <c r="M20" s="54">
        <f>L20*(Vehicle!$H$22)</f>
        <v>120392.02510446362</v>
      </c>
      <c r="N20" s="54">
        <f>L20*IF(MOD(E20,$C$5)&lt;1,Vehicle!$H$21,0)</f>
        <v>0</v>
      </c>
      <c r="O20" s="54">
        <f>L20*(Vehicle!$H$23)</f>
        <v>7349.9677251000503</v>
      </c>
      <c r="P20" s="54">
        <f>L20*IF(MOD(E20,$C$5)&lt;1,Vehicle!$H$24,0)</f>
        <v>0</v>
      </c>
      <c r="Q20" s="54">
        <f>L20*(Vehicle!$H$25)</f>
        <v>25243.821093224218</v>
      </c>
      <c r="R20" s="54">
        <f>L20*(Vehicle!$H$26)</f>
        <v>6081.3972065276957</v>
      </c>
      <c r="S20" s="54">
        <f>L20*IF(MOD(E20,$C$5)&lt;1,Vehicle!$H$27,0)</f>
        <v>0</v>
      </c>
      <c r="T20" s="54"/>
      <c r="U20" s="54">
        <f t="shared" ref="U20:U25" si="26">(K20-SUM(M20:S20))*0.25</f>
        <v>203649.39315581141</v>
      </c>
    </row>
    <row r="21" spans="1:21">
      <c r="A21" s="7">
        <f t="shared" si="4"/>
        <v>13</v>
      </c>
      <c r="B21" s="54">
        <f t="shared" si="21"/>
        <v>185</v>
      </c>
      <c r="C21" s="7">
        <v>1</v>
      </c>
      <c r="D21" s="63">
        <f>D20+LOOKUP(C21,Geometry!$J$29:$K$35)</f>
        <v>315</v>
      </c>
      <c r="E21" s="63">
        <f t="shared" si="22"/>
        <v>185</v>
      </c>
      <c r="F21" s="12">
        <f>Geometry!$D$12*D21</f>
        <v>6.1740000000000013</v>
      </c>
      <c r="G21" s="4">
        <f t="shared" si="0"/>
        <v>0.63000000000000012</v>
      </c>
      <c r="H21" s="4">
        <f t="shared" si="23"/>
        <v>1</v>
      </c>
      <c r="I21" s="15">
        <f t="shared" si="24"/>
        <v>989601.68588078488</v>
      </c>
      <c r="J21" s="15">
        <f t="shared" si="25"/>
        <v>1112</v>
      </c>
      <c r="K21" s="15">
        <f>J21*Geometry!$J$2</f>
        <v>988781.04066926765</v>
      </c>
      <c r="L21" s="15">
        <f t="shared" si="8"/>
        <v>889902.93660234089</v>
      </c>
      <c r="M21" s="54">
        <f>L21*(Vehicle!$H$22)</f>
        <v>122261.12503759227</v>
      </c>
      <c r="N21" s="54">
        <f>L21*IF(MOD(E21,$C$5)&lt;1,Vehicle!$H$21,0)</f>
        <v>0</v>
      </c>
      <c r="O21" s="54">
        <f>L21*(Vehicle!$H$23)</f>
        <v>7464.0768130696397</v>
      </c>
      <c r="P21" s="54">
        <f>L21*IF(MOD(E21,$C$5)&lt;1,Vehicle!$H$24,0)</f>
        <v>0</v>
      </c>
      <c r="Q21" s="54">
        <f>L21*(Vehicle!$H$25)</f>
        <v>25635.734297411262</v>
      </c>
      <c r="R21" s="54">
        <f>L21*(Vehicle!$H$26)</f>
        <v>6175.8115923824635</v>
      </c>
      <c r="S21" s="54">
        <f>L21*IF(MOD(E21,$C$5)&lt;1,Vehicle!$H$27,0)</f>
        <v>0</v>
      </c>
      <c r="T21" s="54"/>
      <c r="U21" s="54">
        <f t="shared" si="26"/>
        <v>206811.07323220299</v>
      </c>
    </row>
    <row r="22" spans="1:21">
      <c r="A22" s="7">
        <f t="shared" si="4"/>
        <v>14</v>
      </c>
      <c r="B22" s="54">
        <f t="shared" si="21"/>
        <v>180</v>
      </c>
      <c r="C22" s="7">
        <v>1</v>
      </c>
      <c r="D22" s="63">
        <f>D21+LOOKUP(C22,Geometry!$J$29:$K$35)</f>
        <v>320</v>
      </c>
      <c r="E22" s="63">
        <f t="shared" si="22"/>
        <v>180</v>
      </c>
      <c r="F22" s="12">
        <f>Geometry!$D$12*D22</f>
        <v>6.2720000000000011</v>
      </c>
      <c r="G22" s="4">
        <f t="shared" si="0"/>
        <v>0.64000000000000012</v>
      </c>
      <c r="H22" s="4">
        <f t="shared" si="23"/>
        <v>1</v>
      </c>
      <c r="I22" s="15">
        <f t="shared" si="24"/>
        <v>1005309.6491487338</v>
      </c>
      <c r="J22" s="15">
        <f t="shared" si="25"/>
        <v>1130</v>
      </c>
      <c r="K22" s="15">
        <f>J22*Geometry!$J$2</f>
        <v>1004786.4891693097</v>
      </c>
      <c r="L22" s="15">
        <f t="shared" si="8"/>
        <v>904307.84025237872</v>
      </c>
      <c r="M22" s="54">
        <f>L22*(Vehicle!$H$22)</f>
        <v>124240.17202561084</v>
      </c>
      <c r="N22" s="54">
        <f>L22*IF(MOD(E22,$C$5)&lt;1,Vehicle!$H$21,0)</f>
        <v>224789.01330215752</v>
      </c>
      <c r="O22" s="54">
        <f>L22*(Vehicle!$H$23)</f>
        <v>7584.8982003315577</v>
      </c>
      <c r="P22" s="54">
        <f>L22*IF(MOD(E22,$C$5)&lt;1,Vehicle!$H$24,0)</f>
        <v>16636.842340282928</v>
      </c>
      <c r="Q22" s="54">
        <f>L22*(Vehicle!$H$25)</f>
        <v>26050.701219491657</v>
      </c>
      <c r="R22" s="54">
        <f>L22*(Vehicle!$H$26)</f>
        <v>6275.7797656404528</v>
      </c>
      <c r="S22" s="54">
        <f>L22*IF(MOD(E22,$C$5)&lt;1,Vehicle!$H$27,0)</f>
        <v>6275.7797656404528</v>
      </c>
      <c r="T22" s="54"/>
      <c r="U22" s="54">
        <f t="shared" si="26"/>
        <v>148233.3256375386</v>
      </c>
    </row>
    <row r="23" spans="1:21">
      <c r="A23" s="7">
        <f t="shared" si="4"/>
        <v>15</v>
      </c>
      <c r="B23" s="54">
        <f t="shared" si="21"/>
        <v>175</v>
      </c>
      <c r="C23" s="7">
        <v>1</v>
      </c>
      <c r="D23" s="63">
        <f>D22+LOOKUP(C23,Geometry!$J$29:$K$35)</f>
        <v>325</v>
      </c>
      <c r="E23" s="63">
        <f t="shared" si="22"/>
        <v>175</v>
      </c>
      <c r="F23" s="12">
        <f>Geometry!$D$12*D23</f>
        <v>6.370000000000001</v>
      </c>
      <c r="G23" s="4">
        <f t="shared" si="0"/>
        <v>0.65</v>
      </c>
      <c r="H23" s="4">
        <f t="shared" si="23"/>
        <v>1</v>
      </c>
      <c r="I23" s="15">
        <f t="shared" si="24"/>
        <v>1021017.6124166828</v>
      </c>
      <c r="J23" s="15">
        <f t="shared" si="25"/>
        <v>1148</v>
      </c>
      <c r="K23" s="15">
        <f>J23*Geometry!$J$2</f>
        <v>1020791.9376693519</v>
      </c>
      <c r="L23" s="15">
        <f t="shared" si="8"/>
        <v>918712.74390241678</v>
      </c>
      <c r="M23" s="54">
        <f>L23*(Vehicle!$H$22)</f>
        <v>126219.21901362945</v>
      </c>
      <c r="N23" s="54">
        <f>L23*IF(MOD(E23,$C$5)&lt;1,Vehicle!$H$21,0)</f>
        <v>0</v>
      </c>
      <c r="O23" s="54">
        <f>L23*(Vehicle!$H$23)</f>
        <v>7705.7195875934776</v>
      </c>
      <c r="P23" s="54">
        <f>L23*IF(MOD(E23,$C$5)&lt;1,Vehicle!$H$24,0)</f>
        <v>0</v>
      </c>
      <c r="Q23" s="54">
        <f>L23*(Vehicle!$H$25)</f>
        <v>26465.66814157206</v>
      </c>
      <c r="R23" s="54">
        <f>L23*(Vehicle!$H$26)</f>
        <v>6375.747938898443</v>
      </c>
      <c r="S23" s="54">
        <f>L23*IF(MOD(E23,$C$5)&lt;1,Vehicle!$H$27,0)</f>
        <v>0</v>
      </c>
      <c r="T23" s="54"/>
      <c r="U23" s="54">
        <f t="shared" si="26"/>
        <v>213506.39574691461</v>
      </c>
    </row>
    <row r="24" spans="1:21">
      <c r="A24" s="7">
        <f t="shared" si="4"/>
        <v>16</v>
      </c>
      <c r="B24" s="54">
        <f t="shared" si="21"/>
        <v>170</v>
      </c>
      <c r="C24" s="7">
        <v>1</v>
      </c>
      <c r="D24" s="63">
        <f>D23+LOOKUP(C24,Geometry!$J$29:$K$35)</f>
        <v>330</v>
      </c>
      <c r="E24" s="63">
        <f t="shared" si="22"/>
        <v>170</v>
      </c>
      <c r="F24" s="12">
        <f>Geometry!$D$12*D24</f>
        <v>6.4680000000000009</v>
      </c>
      <c r="G24" s="4">
        <f t="shared" si="0"/>
        <v>0.66</v>
      </c>
      <c r="H24" s="4">
        <f t="shared" si="23"/>
        <v>1</v>
      </c>
      <c r="I24" s="15">
        <f t="shared" si="24"/>
        <v>1036725.5756846316</v>
      </c>
      <c r="J24" s="15">
        <f t="shared" si="25"/>
        <v>1165</v>
      </c>
      <c r="K24" s="15">
        <f>J24*Geometry!$J$2</f>
        <v>1035908.1945860583</v>
      </c>
      <c r="L24" s="15">
        <f t="shared" si="8"/>
        <v>932317.37512745243</v>
      </c>
      <c r="M24" s="54">
        <f>L24*(Vehicle!$H$22)</f>
        <v>128088.31894675808</v>
      </c>
      <c r="N24" s="54">
        <f>L24*IF(MOD(E24,$C$5)&lt;1,Vehicle!$H$21,0)</f>
        <v>0</v>
      </c>
      <c r="O24" s="54">
        <f>L24*(Vehicle!$H$23)</f>
        <v>7819.8286755630661</v>
      </c>
      <c r="P24" s="54">
        <f>L24*IF(MOD(E24,$C$5)&lt;1,Vehicle!$H$24,0)</f>
        <v>0</v>
      </c>
      <c r="Q24" s="54">
        <f>L24*(Vehicle!$H$25)</f>
        <v>26857.581345759099</v>
      </c>
      <c r="R24" s="54">
        <f>L24*(Vehicle!$H$26)</f>
        <v>6470.1623247532098</v>
      </c>
      <c r="S24" s="54">
        <f>L24*IF(MOD(E24,$C$5)&lt;1,Vehicle!$H$27,0)</f>
        <v>0</v>
      </c>
      <c r="T24" s="54"/>
      <c r="U24" s="54">
        <f t="shared" si="26"/>
        <v>216668.07582330619</v>
      </c>
    </row>
    <row r="25" spans="1:21">
      <c r="A25" s="7">
        <f t="shared" si="4"/>
        <v>17</v>
      </c>
      <c r="B25" s="54">
        <f t="shared" si="21"/>
        <v>165</v>
      </c>
      <c r="C25" s="7">
        <v>1</v>
      </c>
      <c r="D25" s="63">
        <f>D24+LOOKUP(C25,Geometry!$J$29:$K$35)</f>
        <v>335</v>
      </c>
      <c r="E25" s="63">
        <f t="shared" si="22"/>
        <v>165</v>
      </c>
      <c r="F25" s="12">
        <f>Geometry!$D$12*D25</f>
        <v>6.5660000000000007</v>
      </c>
      <c r="G25" s="4">
        <f t="shared" si="0"/>
        <v>0.67</v>
      </c>
      <c r="H25" s="4">
        <f t="shared" si="23"/>
        <v>1</v>
      </c>
      <c r="I25" s="15">
        <f t="shared" si="24"/>
        <v>1052433.5389525807</v>
      </c>
      <c r="J25" s="15">
        <f t="shared" si="25"/>
        <v>1183</v>
      </c>
      <c r="K25" s="15">
        <f>J25*Geometry!$J$2</f>
        <v>1051913.6430861005</v>
      </c>
      <c r="L25" s="15">
        <f t="shared" si="8"/>
        <v>946722.27877749049</v>
      </c>
      <c r="M25" s="54">
        <f>L25*(Vehicle!$H$22)</f>
        <v>130067.3659347767</v>
      </c>
      <c r="N25" s="54">
        <f>L25*IF(MOD(E25,$C$5)&lt;1,Vehicle!$H$21,0)</f>
        <v>0</v>
      </c>
      <c r="O25" s="54">
        <f>L25*(Vehicle!$H$23)</f>
        <v>7940.6500628249869</v>
      </c>
      <c r="P25" s="54">
        <f>L25*IF(MOD(E25,$C$5)&lt;1,Vehicle!$H$24,0)</f>
        <v>0</v>
      </c>
      <c r="Q25" s="54">
        <f>L25*(Vehicle!$H$25)</f>
        <v>27272.548267839502</v>
      </c>
      <c r="R25" s="54">
        <f>L25*(Vehicle!$H$26)</f>
        <v>6570.1304980112009</v>
      </c>
      <c r="S25" s="54">
        <f>L25*IF(MOD(E25,$C$5)&lt;1,Vehicle!$H$27,0)</f>
        <v>0</v>
      </c>
      <c r="T25" s="54"/>
      <c r="U25" s="54">
        <f t="shared" si="26"/>
        <v>220015.73708066202</v>
      </c>
    </row>
    <row r="26" spans="1:21">
      <c r="A26" s="7">
        <f t="shared" si="4"/>
        <v>18</v>
      </c>
      <c r="B26" s="54">
        <f t="shared" ref="B26:B38" si="27">B25-(D26-D25)</f>
        <v>160</v>
      </c>
      <c r="C26" s="7">
        <v>1</v>
      </c>
      <c r="D26" s="63">
        <f>D25+LOOKUP(C26,Geometry!$J$29:$K$35)</f>
        <v>340</v>
      </c>
      <c r="E26" s="63">
        <f t="shared" ref="E26:E38" si="28">E25-(D26-D25)</f>
        <v>160</v>
      </c>
      <c r="F26" s="12">
        <f>Geometry!$D$12*D26</f>
        <v>6.6640000000000006</v>
      </c>
      <c r="G26" s="4">
        <f t="shared" ref="G26:G38" si="29">IF(H26&gt;0,F26/9.8,0)</f>
        <v>0.68</v>
      </c>
      <c r="H26" s="4">
        <f t="shared" ref="H26:H38" si="30">IF(D26&lt;=$F$5,1,0)</f>
        <v>1</v>
      </c>
      <c r="I26" s="15">
        <f t="shared" ref="I26:I38" si="31">IF(D26&lt;=$F$5,D26*2*PI()*$C$2*H26,0)</f>
        <v>1068141.5022205296</v>
      </c>
      <c r="J26" s="15">
        <f t="shared" ref="J26:J38" si="32">FLOOR(I26/$J$1,1)</f>
        <v>1201</v>
      </c>
      <c r="K26" s="15">
        <f>J26*Geometry!$J$2</f>
        <v>1067919.0915861425</v>
      </c>
      <c r="L26" s="15">
        <f t="shared" si="8"/>
        <v>961127.18242752831</v>
      </c>
      <c r="M26" s="54">
        <f>L26*(Vehicle!$H$22)</f>
        <v>132046.41292279525</v>
      </c>
      <c r="N26" s="54">
        <f>L26*IF(MOD(E26,$C$5)&lt;1,Vehicle!$H$21,0)</f>
        <v>238912.92475742585</v>
      </c>
      <c r="O26" s="54">
        <f>L26*(Vehicle!$H$23)</f>
        <v>8061.471450086905</v>
      </c>
      <c r="P26" s="54">
        <f>L26*IF(MOD(E26,$C$5)&lt;1,Vehicle!$H$24,0)</f>
        <v>17682.166062548495</v>
      </c>
      <c r="Q26" s="54">
        <f>L26*(Vehicle!$H$25)</f>
        <v>27687.515189919897</v>
      </c>
      <c r="R26" s="54">
        <f>L26*(Vehicle!$H$26)</f>
        <v>6670.0986712691902</v>
      </c>
      <c r="S26" s="54">
        <f>L26*IF(MOD(E26,$C$5)&lt;1,Vehicle!$H$27,0)</f>
        <v>6670.0986712691902</v>
      </c>
      <c r="T26" s="54"/>
      <c r="U26" s="54">
        <f t="shared" ref="U26:U38" si="33">(K26-SUM(M26:S26))*0.25</f>
        <v>157547.10096520692</v>
      </c>
    </row>
    <row r="27" spans="1:21">
      <c r="A27" s="7">
        <f t="shared" si="4"/>
        <v>19</v>
      </c>
      <c r="B27" s="54">
        <f t="shared" si="27"/>
        <v>155</v>
      </c>
      <c r="C27" s="7">
        <v>1</v>
      </c>
      <c r="D27" s="63">
        <f>D26+LOOKUP(C27,Geometry!$J$29:$K$35)</f>
        <v>345</v>
      </c>
      <c r="E27" s="63">
        <f t="shared" si="28"/>
        <v>155</v>
      </c>
      <c r="F27" s="12">
        <f>Geometry!$D$12*D27</f>
        <v>6.7620000000000013</v>
      </c>
      <c r="G27" s="4">
        <f t="shared" si="29"/>
        <v>0.69000000000000006</v>
      </c>
      <c r="H27" s="4">
        <f t="shared" si="30"/>
        <v>1</v>
      </c>
      <c r="I27" s="15">
        <f t="shared" si="31"/>
        <v>1083849.4654884788</v>
      </c>
      <c r="J27" s="15">
        <f t="shared" si="32"/>
        <v>1218</v>
      </c>
      <c r="K27" s="15">
        <f>J27*Geometry!$J$2</f>
        <v>1083035.348502849</v>
      </c>
      <c r="L27" s="15">
        <f t="shared" si="8"/>
        <v>974731.81365256407</v>
      </c>
      <c r="M27" s="54">
        <f>L27*(Vehicle!$H$22)</f>
        <v>133915.51285592391</v>
      </c>
      <c r="N27" s="54">
        <f>L27*IF(MOD(E27,$C$5)&lt;1,Vehicle!$H$21,0)</f>
        <v>0</v>
      </c>
      <c r="O27" s="54">
        <f>L27*(Vehicle!$H$23)</f>
        <v>8175.5805380564943</v>
      </c>
      <c r="P27" s="54">
        <f>L27*IF(MOD(E27,$C$5)&lt;1,Vehicle!$H$24,0)</f>
        <v>0</v>
      </c>
      <c r="Q27" s="54">
        <f>L27*(Vehicle!$H$25)</f>
        <v>28079.428394106937</v>
      </c>
      <c r="R27" s="54">
        <f>L27*(Vehicle!$H$26)</f>
        <v>6764.5130571239579</v>
      </c>
      <c r="S27" s="54">
        <f>L27*IF(MOD(E27,$C$5)&lt;1,Vehicle!$H$27,0)</f>
        <v>0</v>
      </c>
      <c r="T27" s="54"/>
      <c r="U27" s="54">
        <f t="shared" si="33"/>
        <v>226525.07841440942</v>
      </c>
    </row>
    <row r="28" spans="1:21">
      <c r="A28" s="7">
        <f t="shared" si="4"/>
        <v>20</v>
      </c>
      <c r="B28" s="54">
        <f t="shared" si="27"/>
        <v>150</v>
      </c>
      <c r="C28" s="7">
        <v>1</v>
      </c>
      <c r="D28" s="63">
        <f>D27+LOOKUP(C28,Geometry!$J$29:$K$35)</f>
        <v>350</v>
      </c>
      <c r="E28" s="63">
        <f t="shared" si="28"/>
        <v>150</v>
      </c>
      <c r="F28" s="12">
        <f>Geometry!$D$12*D28</f>
        <v>6.8600000000000012</v>
      </c>
      <c r="G28" s="4">
        <f t="shared" si="29"/>
        <v>0.70000000000000007</v>
      </c>
      <c r="H28" s="4">
        <f t="shared" si="30"/>
        <v>1</v>
      </c>
      <c r="I28" s="15">
        <f t="shared" si="31"/>
        <v>1099557.4287564275</v>
      </c>
      <c r="J28" s="15">
        <f t="shared" si="32"/>
        <v>1236</v>
      </c>
      <c r="K28" s="15">
        <f>J28*Geometry!$J$2</f>
        <v>1099040.7970028911</v>
      </c>
      <c r="L28" s="15">
        <f t="shared" si="8"/>
        <v>989136.71730260202</v>
      </c>
      <c r="M28" s="54">
        <f>L28*(Vehicle!$H$22)</f>
        <v>135894.55984394249</v>
      </c>
      <c r="N28" s="54">
        <f>L28*IF(MOD(E28,$C$5)&lt;1,Vehicle!$H$21,0)</f>
        <v>0</v>
      </c>
      <c r="O28" s="54">
        <f>L28*(Vehicle!$H$23)</f>
        <v>8296.4019253184124</v>
      </c>
      <c r="P28" s="54">
        <f>L28*IF(MOD(E28,$C$5)&lt;1,Vehicle!$H$24,0)</f>
        <v>0</v>
      </c>
      <c r="Q28" s="54">
        <f>L28*(Vehicle!$H$25)</f>
        <v>28494.39531618734</v>
      </c>
      <c r="R28" s="54">
        <f>L28*(Vehicle!$H$26)</f>
        <v>6864.4812303819472</v>
      </c>
      <c r="S28" s="54">
        <f>L28*IF(MOD(E28,$C$5)&lt;1,Vehicle!$H$27,0)</f>
        <v>0</v>
      </c>
      <c r="T28" s="54"/>
      <c r="U28" s="54">
        <f t="shared" si="33"/>
        <v>229872.73967176522</v>
      </c>
    </row>
    <row r="29" spans="1:21">
      <c r="A29" s="7">
        <f t="shared" si="4"/>
        <v>21</v>
      </c>
      <c r="B29" s="54">
        <f t="shared" si="27"/>
        <v>145</v>
      </c>
      <c r="C29" s="7">
        <v>1</v>
      </c>
      <c r="D29" s="63">
        <f>D28+LOOKUP(C29,Geometry!$J$29:$K$35)</f>
        <v>355</v>
      </c>
      <c r="E29" s="63">
        <f t="shared" si="28"/>
        <v>145</v>
      </c>
      <c r="F29" s="12">
        <f>Geometry!$D$12*D29</f>
        <v>6.9580000000000011</v>
      </c>
      <c r="G29" s="4">
        <f t="shared" si="29"/>
        <v>0.71000000000000008</v>
      </c>
      <c r="H29" s="4">
        <f t="shared" si="30"/>
        <v>1</v>
      </c>
      <c r="I29" s="15">
        <f t="shared" si="31"/>
        <v>1115265.3920243764</v>
      </c>
      <c r="J29" s="15">
        <f t="shared" si="32"/>
        <v>1254</v>
      </c>
      <c r="K29" s="15">
        <f>J29*Geometry!$J$2</f>
        <v>1115046.2455029332</v>
      </c>
      <c r="L29" s="15">
        <f t="shared" si="8"/>
        <v>1003541.6209526398</v>
      </c>
      <c r="M29" s="54">
        <f>L29*(Vehicle!$H$22)</f>
        <v>137873.60683196108</v>
      </c>
      <c r="N29" s="54">
        <f>L29*IF(MOD(E29,$C$5)&lt;1,Vehicle!$H$21,0)</f>
        <v>0</v>
      </c>
      <c r="O29" s="54">
        <f>L29*(Vehicle!$H$23)</f>
        <v>8417.2233125803305</v>
      </c>
      <c r="P29" s="54">
        <f>L29*IF(MOD(E29,$C$5)&lt;1,Vehicle!$H$24,0)</f>
        <v>0</v>
      </c>
      <c r="Q29" s="54">
        <f>L29*(Vehicle!$H$25)</f>
        <v>28909.362238267735</v>
      </c>
      <c r="R29" s="54">
        <f>L29*(Vehicle!$H$26)</f>
        <v>6964.4494036399365</v>
      </c>
      <c r="S29" s="54">
        <f>L29*IF(MOD(E29,$C$5)&lt;1,Vehicle!$H$27,0)</f>
        <v>0</v>
      </c>
      <c r="T29" s="54"/>
      <c r="U29" s="54">
        <f t="shared" si="33"/>
        <v>233220.40092912101</v>
      </c>
    </row>
    <row r="30" spans="1:21">
      <c r="A30" s="7">
        <f t="shared" si="4"/>
        <v>22</v>
      </c>
      <c r="B30" s="54">
        <f t="shared" si="27"/>
        <v>140</v>
      </c>
      <c r="C30" s="7">
        <v>1</v>
      </c>
      <c r="D30" s="63">
        <f>D29+LOOKUP(C30,Geometry!$J$29:$K$35)</f>
        <v>360</v>
      </c>
      <c r="E30" s="63">
        <f t="shared" si="28"/>
        <v>140</v>
      </c>
      <c r="F30" s="12">
        <f>Geometry!$D$12*D30</f>
        <v>7.0560000000000009</v>
      </c>
      <c r="G30" s="4">
        <f t="shared" si="29"/>
        <v>0.72000000000000008</v>
      </c>
      <c r="H30" s="4">
        <f t="shared" si="30"/>
        <v>1</v>
      </c>
      <c r="I30" s="15">
        <f t="shared" si="31"/>
        <v>1130973.3552923256</v>
      </c>
      <c r="J30" s="15">
        <f t="shared" si="32"/>
        <v>1271</v>
      </c>
      <c r="K30" s="15">
        <f>J30*Geometry!$J$2</f>
        <v>1130162.5024196396</v>
      </c>
      <c r="L30" s="15">
        <f t="shared" si="8"/>
        <v>1017146.2521776757</v>
      </c>
      <c r="M30" s="54">
        <f>L30*(Vehicle!$H$22)</f>
        <v>139742.70676508974</v>
      </c>
      <c r="N30" s="54">
        <f>L30*IF(MOD(E30,$C$5)&lt;1,Vehicle!$H$21,0)</f>
        <v>252837.90788233827</v>
      </c>
      <c r="O30" s="54">
        <f>L30*(Vehicle!$H$23)</f>
        <v>8531.3324005499217</v>
      </c>
      <c r="P30" s="54">
        <f>L30*IF(MOD(E30,$C$5)&lt;1,Vehicle!$H$24,0)</f>
        <v>18712.766915486376</v>
      </c>
      <c r="Q30" s="54">
        <f>L30*(Vehicle!$H$25)</f>
        <v>29301.275442454778</v>
      </c>
      <c r="R30" s="54">
        <f>L30*(Vehicle!$H$26)</f>
        <v>7058.8637894947051</v>
      </c>
      <c r="S30" s="54">
        <f>L30*IF(MOD(E30,$C$5)&lt;1,Vehicle!$H$27,0)</f>
        <v>7058.8637894947051</v>
      </c>
      <c r="T30" s="54"/>
      <c r="U30" s="54">
        <f t="shared" si="33"/>
        <v>166729.69635868276</v>
      </c>
    </row>
    <row r="31" spans="1:21">
      <c r="A31" s="7">
        <f t="shared" si="4"/>
        <v>23</v>
      </c>
      <c r="B31" s="54">
        <f t="shared" si="27"/>
        <v>135</v>
      </c>
      <c r="C31" s="7">
        <v>1</v>
      </c>
      <c r="D31" s="63">
        <f>D30+LOOKUP(C31,Geometry!$J$29:$K$35)</f>
        <v>365</v>
      </c>
      <c r="E31" s="63">
        <f t="shared" si="28"/>
        <v>135</v>
      </c>
      <c r="F31" s="12">
        <f>Geometry!$D$12*D31</f>
        <v>7.1540000000000008</v>
      </c>
      <c r="G31" s="4">
        <f t="shared" si="29"/>
        <v>0.73</v>
      </c>
      <c r="H31" s="4">
        <f t="shared" si="30"/>
        <v>1</v>
      </c>
      <c r="I31" s="15">
        <f t="shared" si="31"/>
        <v>1146681.3185602746</v>
      </c>
      <c r="J31" s="15">
        <f t="shared" si="32"/>
        <v>1289</v>
      </c>
      <c r="K31" s="15">
        <f>J31*Geometry!$J$2</f>
        <v>1146167.9509196817</v>
      </c>
      <c r="L31" s="15">
        <f t="shared" si="8"/>
        <v>1031551.1558277135</v>
      </c>
      <c r="M31" s="54">
        <f>L31*(Vehicle!$H$22)</f>
        <v>141721.75375310832</v>
      </c>
      <c r="N31" s="54">
        <f>L31*IF(MOD(E31,$C$5)&lt;1,Vehicle!$H$21,0)</f>
        <v>0</v>
      </c>
      <c r="O31" s="54">
        <f>L31*(Vehicle!$H$23)</f>
        <v>8652.1537878118397</v>
      </c>
      <c r="P31" s="54">
        <f>L31*IF(MOD(E31,$C$5)&lt;1,Vehicle!$H$24,0)</f>
        <v>0</v>
      </c>
      <c r="Q31" s="54">
        <f>L31*(Vehicle!$H$25)</f>
        <v>29716.242364535177</v>
      </c>
      <c r="R31" s="54">
        <f>L31*(Vehicle!$H$26)</f>
        <v>7158.8319627526944</v>
      </c>
      <c r="S31" s="54">
        <f>L31*IF(MOD(E31,$C$5)&lt;1,Vehicle!$H$27,0)</f>
        <v>0</v>
      </c>
      <c r="T31" s="54"/>
      <c r="U31" s="54">
        <f t="shared" si="33"/>
        <v>239729.74226286841</v>
      </c>
    </row>
    <row r="32" spans="1:21">
      <c r="A32" s="7">
        <f t="shared" si="4"/>
        <v>24</v>
      </c>
      <c r="B32" s="54">
        <f t="shared" si="27"/>
        <v>130</v>
      </c>
      <c r="C32" s="7">
        <v>1</v>
      </c>
      <c r="D32" s="63">
        <f>D31+LOOKUP(C32,Geometry!$J$29:$K$35)</f>
        <v>370</v>
      </c>
      <c r="E32" s="63">
        <f t="shared" si="28"/>
        <v>130</v>
      </c>
      <c r="F32" s="12">
        <f>Geometry!$D$12*D32</f>
        <v>7.2520000000000007</v>
      </c>
      <c r="G32" s="4">
        <f t="shared" si="29"/>
        <v>0.74</v>
      </c>
      <c r="H32" s="4">
        <f t="shared" si="30"/>
        <v>1</v>
      </c>
      <c r="I32" s="15">
        <f t="shared" si="31"/>
        <v>1162389.2818282233</v>
      </c>
      <c r="J32" s="15">
        <f t="shared" si="32"/>
        <v>1307</v>
      </c>
      <c r="K32" s="15">
        <f>J32*Geometry!$J$2</f>
        <v>1162173.3994197238</v>
      </c>
      <c r="L32" s="15">
        <f t="shared" si="8"/>
        <v>1045956.0594777514</v>
      </c>
      <c r="M32" s="54">
        <f>L32*(Vehicle!$H$22)</f>
        <v>143700.80074112688</v>
      </c>
      <c r="N32" s="54">
        <f>L32*IF(MOD(E32,$C$5)&lt;1,Vehicle!$H$21,0)</f>
        <v>0</v>
      </c>
      <c r="O32" s="54">
        <f>L32*(Vehicle!$H$23)</f>
        <v>8772.9751750737578</v>
      </c>
      <c r="P32" s="54">
        <f>L32*IF(MOD(E32,$C$5)&lt;1,Vehicle!$H$24,0)</f>
        <v>0</v>
      </c>
      <c r="Q32" s="54">
        <f>L32*(Vehicle!$H$25)</f>
        <v>30131.209286615573</v>
      </c>
      <c r="R32" s="54">
        <f>L32*(Vehicle!$H$26)</f>
        <v>7258.8001360106828</v>
      </c>
      <c r="S32" s="54">
        <f>L32*IF(MOD(E32,$C$5)&lt;1,Vehicle!$H$27,0)</f>
        <v>0</v>
      </c>
      <c r="T32" s="54"/>
      <c r="U32" s="54">
        <f t="shared" si="33"/>
        <v>243077.40352022421</v>
      </c>
    </row>
    <row r="33" spans="1:21">
      <c r="A33" s="7">
        <f t="shared" si="4"/>
        <v>25</v>
      </c>
      <c r="B33" s="54">
        <f t="shared" si="27"/>
        <v>125</v>
      </c>
      <c r="C33" s="7">
        <v>1</v>
      </c>
      <c r="D33" s="63">
        <f>D32+LOOKUP(C33,Geometry!$J$29:$K$35)</f>
        <v>375</v>
      </c>
      <c r="E33" s="63">
        <f t="shared" si="28"/>
        <v>125</v>
      </c>
      <c r="F33" s="12">
        <f>Geometry!$D$12*D33</f>
        <v>7.3500000000000014</v>
      </c>
      <c r="G33" s="4">
        <f t="shared" si="29"/>
        <v>0.75000000000000011</v>
      </c>
      <c r="H33" s="4">
        <f t="shared" si="30"/>
        <v>1</v>
      </c>
      <c r="I33" s="15">
        <f t="shared" si="31"/>
        <v>1178097.2450961724</v>
      </c>
      <c r="J33" s="15">
        <f t="shared" si="32"/>
        <v>1324</v>
      </c>
      <c r="K33" s="15">
        <f>J33*Geometry!$J$2</f>
        <v>1177289.6563364302</v>
      </c>
      <c r="L33" s="15">
        <f t="shared" si="8"/>
        <v>1059560.6907027871</v>
      </c>
      <c r="M33" s="54">
        <f>L33*(Vehicle!$H$22)</f>
        <v>145569.90067425554</v>
      </c>
      <c r="N33" s="54">
        <f>L33*IF(MOD(E33,$C$5)&lt;1,Vehicle!$H$21,0)</f>
        <v>0</v>
      </c>
      <c r="O33" s="54">
        <f>L33*(Vehicle!$H$23)</f>
        <v>8887.0842630433472</v>
      </c>
      <c r="P33" s="54">
        <f>L33*IF(MOD(E33,$C$5)&lt;1,Vehicle!$H$24,0)</f>
        <v>0</v>
      </c>
      <c r="Q33" s="54">
        <f>L33*(Vehicle!$H$25)</f>
        <v>30523.122490802612</v>
      </c>
      <c r="R33" s="54">
        <f>L33*(Vehicle!$H$26)</f>
        <v>7353.2145218654505</v>
      </c>
      <c r="S33" s="54">
        <f>L33*IF(MOD(E33,$C$5)&lt;1,Vehicle!$H$27,0)</f>
        <v>0</v>
      </c>
      <c r="T33" s="54"/>
      <c r="U33" s="54">
        <f t="shared" si="33"/>
        <v>246239.08359661582</v>
      </c>
    </row>
    <row r="34" spans="1:21">
      <c r="A34" s="7">
        <f t="shared" si="4"/>
        <v>26</v>
      </c>
      <c r="B34" s="54">
        <f t="shared" si="27"/>
        <v>120</v>
      </c>
      <c r="C34" s="7">
        <v>1</v>
      </c>
      <c r="D34" s="63">
        <f>D33+LOOKUP(C34,Geometry!$J$29:$K$35)</f>
        <v>380</v>
      </c>
      <c r="E34" s="63">
        <f t="shared" si="28"/>
        <v>120</v>
      </c>
      <c r="F34" s="12">
        <f>Geometry!$D$12*D34</f>
        <v>7.4480000000000013</v>
      </c>
      <c r="G34" s="4">
        <f t="shared" si="29"/>
        <v>0.76000000000000012</v>
      </c>
      <c r="H34" s="4">
        <f t="shared" si="30"/>
        <v>1</v>
      </c>
      <c r="I34" s="15">
        <f t="shared" si="31"/>
        <v>1193805.2083641214</v>
      </c>
      <c r="J34" s="15">
        <f t="shared" si="32"/>
        <v>1342</v>
      </c>
      <c r="K34" s="15">
        <f>J34*Geometry!$J$2</f>
        <v>1193295.1048364723</v>
      </c>
      <c r="L34" s="15">
        <f t="shared" si="8"/>
        <v>1073965.5943528251</v>
      </c>
      <c r="M34" s="54">
        <f>L34*(Vehicle!$H$22)</f>
        <v>147548.94766227412</v>
      </c>
      <c r="N34" s="54">
        <f>L34*IF(MOD(E34,$C$5)&lt;1,Vehicle!$H$21,0)</f>
        <v>266961.81933760655</v>
      </c>
      <c r="O34" s="54">
        <f>L34*(Vehicle!$H$23)</f>
        <v>9007.905650305267</v>
      </c>
      <c r="P34" s="54">
        <f>L34*IF(MOD(E34,$C$5)&lt;1,Vehicle!$H$24,0)</f>
        <v>19758.090637751939</v>
      </c>
      <c r="Q34" s="54">
        <f>L34*(Vehicle!$H$25)</f>
        <v>30938.089412883015</v>
      </c>
      <c r="R34" s="54">
        <f>L34*(Vehicle!$H$26)</f>
        <v>7453.1826951234407</v>
      </c>
      <c r="S34" s="54">
        <f>L34*IF(MOD(E34,$C$5)&lt;1,Vehicle!$H$27,0)</f>
        <v>7453.1826951234407</v>
      </c>
      <c r="T34" s="54"/>
      <c r="U34" s="54">
        <f t="shared" si="33"/>
        <v>176043.47168635114</v>
      </c>
    </row>
    <row r="35" spans="1:21">
      <c r="A35" s="7">
        <f t="shared" si="4"/>
        <v>27</v>
      </c>
      <c r="B35" s="54">
        <f t="shared" si="27"/>
        <v>115</v>
      </c>
      <c r="C35" s="7">
        <v>1</v>
      </c>
      <c r="D35" s="63">
        <f>D34+LOOKUP(C35,Geometry!$J$29:$K$35)</f>
        <v>385</v>
      </c>
      <c r="E35" s="63">
        <f t="shared" si="28"/>
        <v>115</v>
      </c>
      <c r="F35" s="12">
        <f>Geometry!$D$12*D35</f>
        <v>7.5460000000000012</v>
      </c>
      <c r="G35" s="4">
        <f t="shared" si="29"/>
        <v>0.77</v>
      </c>
      <c r="H35" s="4">
        <f t="shared" si="30"/>
        <v>1</v>
      </c>
      <c r="I35" s="15">
        <f t="shared" si="31"/>
        <v>1209513.1716320706</v>
      </c>
      <c r="J35" s="15">
        <f t="shared" si="32"/>
        <v>1360</v>
      </c>
      <c r="K35" s="15">
        <f>J35*Geometry!$J$2</f>
        <v>1209300.5533365144</v>
      </c>
      <c r="L35" s="15">
        <f t="shared" si="8"/>
        <v>1088370.498002863</v>
      </c>
      <c r="M35" s="54">
        <f>L35*(Vehicle!$H$22)</f>
        <v>149527.99465029271</v>
      </c>
      <c r="N35" s="54">
        <f>L35*IF(MOD(E35,$C$5)&lt;1,Vehicle!$H$21,0)</f>
        <v>0</v>
      </c>
      <c r="O35" s="54">
        <f>L35*(Vehicle!$H$23)</f>
        <v>9128.7270375671851</v>
      </c>
      <c r="P35" s="54">
        <f>L35*IF(MOD(E35,$C$5)&lt;1,Vehicle!$H$24,0)</f>
        <v>0</v>
      </c>
      <c r="Q35" s="54">
        <f>L35*(Vehicle!$H$25)</f>
        <v>31353.056334963414</v>
      </c>
      <c r="R35" s="54">
        <f>L35*(Vehicle!$H$26)</f>
        <v>7553.1508683814309</v>
      </c>
      <c r="S35" s="54">
        <f>L35*IF(MOD(E35,$C$5)&lt;1,Vehicle!$H$27,0)</f>
        <v>0</v>
      </c>
      <c r="T35" s="54"/>
      <c r="U35" s="54">
        <f t="shared" si="33"/>
        <v>252934.40611132741</v>
      </c>
    </row>
    <row r="36" spans="1:21">
      <c r="A36" s="7">
        <f t="shared" si="4"/>
        <v>28</v>
      </c>
      <c r="B36" s="54">
        <f t="shared" si="27"/>
        <v>110</v>
      </c>
      <c r="C36" s="7">
        <v>1</v>
      </c>
      <c r="D36" s="63">
        <f>D35+LOOKUP(C36,Geometry!$J$29:$K$35)</f>
        <v>390</v>
      </c>
      <c r="E36" s="63">
        <f t="shared" si="28"/>
        <v>110</v>
      </c>
      <c r="F36" s="12">
        <f>Geometry!$D$12*D36</f>
        <v>7.644000000000001</v>
      </c>
      <c r="G36" s="4">
        <f t="shared" si="29"/>
        <v>0.78</v>
      </c>
      <c r="H36" s="4">
        <f t="shared" si="30"/>
        <v>1</v>
      </c>
      <c r="I36" s="15">
        <f t="shared" si="31"/>
        <v>1225221.1349000193</v>
      </c>
      <c r="J36" s="15">
        <f t="shared" si="32"/>
        <v>1377</v>
      </c>
      <c r="K36" s="15">
        <f>J36*Geometry!$J$2</f>
        <v>1224416.8102532208</v>
      </c>
      <c r="L36" s="15">
        <f t="shared" si="8"/>
        <v>1101975.1292278988</v>
      </c>
      <c r="M36" s="54">
        <f>L36*(Vehicle!$H$22)</f>
        <v>151397.09458342136</v>
      </c>
      <c r="N36" s="54">
        <f>L36*IF(MOD(E36,$C$5)&lt;1,Vehicle!$H$21,0)</f>
        <v>0</v>
      </c>
      <c r="O36" s="54">
        <f>L36*(Vehicle!$H$23)</f>
        <v>9242.8361255367745</v>
      </c>
      <c r="P36" s="54">
        <f>L36*IF(MOD(E36,$C$5)&lt;1,Vehicle!$H$24,0)</f>
        <v>0</v>
      </c>
      <c r="Q36" s="54">
        <f>L36*(Vehicle!$H$25)</f>
        <v>31744.969539150454</v>
      </c>
      <c r="R36" s="54">
        <f>L36*(Vehicle!$H$26)</f>
        <v>7647.5652542361986</v>
      </c>
      <c r="S36" s="54">
        <f>L36*IF(MOD(E36,$C$5)&lt;1,Vehicle!$H$27,0)</f>
        <v>0</v>
      </c>
      <c r="T36" s="54"/>
      <c r="U36" s="54">
        <f t="shared" si="33"/>
        <v>256096.08618771902</v>
      </c>
    </row>
    <row r="37" spans="1:21">
      <c r="A37" s="7">
        <f t="shared" si="4"/>
        <v>29</v>
      </c>
      <c r="B37" s="54">
        <f t="shared" si="27"/>
        <v>105</v>
      </c>
      <c r="C37" s="7">
        <v>1</v>
      </c>
      <c r="D37" s="63">
        <f>D36+LOOKUP(C37,Geometry!$J$29:$K$35)</f>
        <v>395</v>
      </c>
      <c r="E37" s="63">
        <f t="shared" si="28"/>
        <v>105</v>
      </c>
      <c r="F37" s="12">
        <f>Geometry!$D$12*D37</f>
        <v>7.7420000000000009</v>
      </c>
      <c r="G37" s="4">
        <f t="shared" si="29"/>
        <v>0.79</v>
      </c>
      <c r="H37" s="4">
        <f t="shared" si="30"/>
        <v>1</v>
      </c>
      <c r="I37" s="15">
        <f t="shared" si="31"/>
        <v>1240929.0981679682</v>
      </c>
      <c r="J37" s="15">
        <f t="shared" si="32"/>
        <v>1395</v>
      </c>
      <c r="K37" s="15">
        <f>J37*Geometry!$J$2</f>
        <v>1240422.2587532629</v>
      </c>
      <c r="L37" s="15">
        <f t="shared" si="8"/>
        <v>1116380.0328779367</v>
      </c>
      <c r="M37" s="54">
        <f>L37*(Vehicle!$H$22)</f>
        <v>153376.14157143995</v>
      </c>
      <c r="N37" s="54">
        <f>L37*IF(MOD(E37,$C$5)&lt;1,Vehicle!$H$21,0)</f>
        <v>0</v>
      </c>
      <c r="O37" s="54">
        <f>L37*(Vehicle!$H$23)</f>
        <v>9363.6575127986944</v>
      </c>
      <c r="P37" s="54">
        <f>L37*IF(MOD(E37,$C$5)&lt;1,Vehicle!$H$24,0)</f>
        <v>0</v>
      </c>
      <c r="Q37" s="54">
        <f>L37*(Vehicle!$H$25)</f>
        <v>32159.936461230856</v>
      </c>
      <c r="R37" s="54">
        <f>L37*(Vehicle!$H$26)</f>
        <v>7747.5334274941879</v>
      </c>
      <c r="S37" s="54">
        <f>L37*IF(MOD(E37,$C$5)&lt;1,Vehicle!$H$27,0)</f>
        <v>0</v>
      </c>
      <c r="T37" s="54"/>
      <c r="U37" s="54">
        <f t="shared" si="33"/>
        <v>259443.74744507481</v>
      </c>
    </row>
    <row r="38" spans="1:21">
      <c r="A38" s="7">
        <f t="shared" si="4"/>
        <v>30</v>
      </c>
      <c r="B38" s="54">
        <f t="shared" si="27"/>
        <v>100</v>
      </c>
      <c r="C38" s="7">
        <v>1</v>
      </c>
      <c r="D38" s="63">
        <f>D37+LOOKUP(C38,Geometry!$J$29:$K$35)</f>
        <v>400</v>
      </c>
      <c r="E38" s="63">
        <f t="shared" si="28"/>
        <v>100</v>
      </c>
      <c r="F38" s="12">
        <f>Geometry!$D$12*D38</f>
        <v>7.8400000000000007</v>
      </c>
      <c r="G38" s="4">
        <f t="shared" si="29"/>
        <v>0.8</v>
      </c>
      <c r="H38" s="4">
        <f t="shared" si="30"/>
        <v>1</v>
      </c>
      <c r="I38" s="15">
        <f t="shared" si="31"/>
        <v>1256637.0614359174</v>
      </c>
      <c r="J38" s="15">
        <f t="shared" si="32"/>
        <v>1413</v>
      </c>
      <c r="K38" s="15">
        <f>J38*Geometry!$J$2</f>
        <v>1256427.707253305</v>
      </c>
      <c r="L38" s="15">
        <f t="shared" si="8"/>
        <v>1130784.9365279744</v>
      </c>
      <c r="M38" s="54">
        <f>L38*(Vehicle!$H$22)</f>
        <v>155355.1885594585</v>
      </c>
      <c r="N38" s="54">
        <f>L38*IF(MOD(E38,$C$5)&lt;1,Vehicle!$H$21,0)</f>
        <v>281085.73079287482</v>
      </c>
      <c r="O38" s="54">
        <f>L38*(Vehicle!$H$23)</f>
        <v>9484.4789000606124</v>
      </c>
      <c r="P38" s="54">
        <f>L38*IF(MOD(E38,$C$5)&lt;1,Vehicle!$H$24,0)</f>
        <v>20803.414360017501</v>
      </c>
      <c r="Q38" s="54">
        <f>L38*(Vehicle!$H$25)</f>
        <v>32574.903383311248</v>
      </c>
      <c r="R38" s="54">
        <f>L38*(Vehicle!$H$26)</f>
        <v>7847.5016007521763</v>
      </c>
      <c r="S38" s="54">
        <f>L38*IF(MOD(E38,$C$5)&lt;1,Vehicle!$H$27,0)</f>
        <v>7847.5016007521763</v>
      </c>
      <c r="T38" s="54"/>
      <c r="U38" s="54">
        <f t="shared" si="33"/>
        <v>185357.24701401949</v>
      </c>
    </row>
    <row r="39" spans="1:21">
      <c r="A39" s="7">
        <f t="shared" si="4"/>
        <v>31</v>
      </c>
      <c r="B39" s="54">
        <f t="shared" ref="B39:B48" si="34">B38-(D39-D38)</f>
        <v>95</v>
      </c>
      <c r="C39" s="7">
        <v>1</v>
      </c>
      <c r="D39" s="63">
        <f>D38+LOOKUP(C39,Geometry!$J$29:$K$35)</f>
        <v>405</v>
      </c>
      <c r="E39" s="63">
        <f t="shared" ref="E39:E48" si="35">E38-(D39-D38)</f>
        <v>95</v>
      </c>
      <c r="F39" s="12">
        <f>Geometry!$D$12*D39</f>
        <v>7.9380000000000015</v>
      </c>
      <c r="G39" s="4">
        <f t="shared" ref="G39:G48" si="36">IF(H39&gt;0,F39/9.8,0)</f>
        <v>0.81</v>
      </c>
      <c r="H39" s="4">
        <f t="shared" ref="H39:H48" si="37">IF(D39&lt;=$F$5,1,0)</f>
        <v>1</v>
      </c>
      <c r="I39" s="15">
        <f t="shared" ref="I39:I48" si="38">IF(D39&lt;=$F$5,D39*2*PI()*$C$2*H39,0)</f>
        <v>1272345.0247038661</v>
      </c>
      <c r="J39" s="15">
        <f t="shared" ref="J39:J48" si="39">FLOOR(I39/$J$1,1)</f>
        <v>1430</v>
      </c>
      <c r="K39" s="15">
        <f>J39*Geometry!$J$2</f>
        <v>1271543.9641700115</v>
      </c>
      <c r="L39" s="15">
        <f t="shared" si="8"/>
        <v>1144389.5677530104</v>
      </c>
      <c r="M39" s="54">
        <f>L39*(Vehicle!$H$22)</f>
        <v>157224.28849258719</v>
      </c>
      <c r="N39" s="54">
        <f>L39*IF(MOD(E39,$C$5)&lt;1,Vehicle!$H$21,0)</f>
        <v>0</v>
      </c>
      <c r="O39" s="54">
        <f>L39*(Vehicle!$H$23)</f>
        <v>9598.5879880302036</v>
      </c>
      <c r="P39" s="54">
        <f>L39*IF(MOD(E39,$C$5)&lt;1,Vehicle!$H$24,0)</f>
        <v>0</v>
      </c>
      <c r="Q39" s="54">
        <f>L39*(Vehicle!$H$25)</f>
        <v>32966.816587498295</v>
      </c>
      <c r="R39" s="54">
        <f>L39*(Vehicle!$H$26)</f>
        <v>7941.9159866069458</v>
      </c>
      <c r="S39" s="54">
        <f>L39*IF(MOD(E39,$C$5)&lt;1,Vehicle!$H$27,0)</f>
        <v>0</v>
      </c>
      <c r="T39" s="54"/>
      <c r="U39" s="54">
        <f t="shared" ref="U39:U48" si="40">(K39-SUM(M39:S39))*0.25</f>
        <v>265953.08877882222</v>
      </c>
    </row>
    <row r="40" spans="1:21">
      <c r="A40" s="7">
        <f t="shared" si="4"/>
        <v>32</v>
      </c>
      <c r="B40" s="54">
        <f t="shared" si="34"/>
        <v>90</v>
      </c>
      <c r="C40" s="7">
        <v>1</v>
      </c>
      <c r="D40" s="63">
        <f>D39+LOOKUP(C40,Geometry!$J$29:$K$35)</f>
        <v>410</v>
      </c>
      <c r="E40" s="63">
        <f t="shared" si="35"/>
        <v>90</v>
      </c>
      <c r="F40" s="12">
        <f>Geometry!$D$12*D40</f>
        <v>8.0360000000000014</v>
      </c>
      <c r="G40" s="4">
        <f t="shared" si="36"/>
        <v>0.82000000000000006</v>
      </c>
      <c r="H40" s="4">
        <f t="shared" si="37"/>
        <v>1</v>
      </c>
      <c r="I40" s="15">
        <f t="shared" si="38"/>
        <v>1288052.987971815</v>
      </c>
      <c r="J40" s="15">
        <f t="shared" si="39"/>
        <v>1448</v>
      </c>
      <c r="K40" s="15">
        <f>J40*Geometry!$J$2</f>
        <v>1287549.4126700535</v>
      </c>
      <c r="L40" s="15">
        <f t="shared" si="8"/>
        <v>1158794.4714030481</v>
      </c>
      <c r="M40" s="54">
        <f>L40*(Vehicle!$H$22)</f>
        <v>159203.33548060575</v>
      </c>
      <c r="N40" s="54">
        <f>L40*IF(MOD(E40,$C$5)&lt;1,Vehicle!$H$21,0)</f>
        <v>0</v>
      </c>
      <c r="O40" s="54">
        <f>L40*(Vehicle!$H$23)</f>
        <v>9719.4093752921199</v>
      </c>
      <c r="P40" s="54">
        <f>L40*IF(MOD(E40,$C$5)&lt;1,Vehicle!$H$24,0)</f>
        <v>0</v>
      </c>
      <c r="Q40" s="54">
        <f>L40*(Vehicle!$H$25)</f>
        <v>33381.783509578687</v>
      </c>
      <c r="R40" s="54">
        <f>L40*(Vehicle!$H$26)</f>
        <v>8041.8841598649342</v>
      </c>
      <c r="S40" s="54">
        <f>L40*IF(MOD(E40,$C$5)&lt;1,Vehicle!$H$27,0)</f>
        <v>0</v>
      </c>
      <c r="T40" s="54"/>
      <c r="U40" s="54">
        <f t="shared" si="40"/>
        <v>269300.75003617798</v>
      </c>
    </row>
    <row r="41" spans="1:21">
      <c r="A41" s="7">
        <f t="shared" si="4"/>
        <v>33</v>
      </c>
      <c r="B41" s="54">
        <f t="shared" si="34"/>
        <v>85</v>
      </c>
      <c r="C41" s="7">
        <v>1</v>
      </c>
      <c r="D41" s="63">
        <f>D40+LOOKUP(C41,Geometry!$J$29:$K$35)</f>
        <v>415</v>
      </c>
      <c r="E41" s="63">
        <f t="shared" si="35"/>
        <v>85</v>
      </c>
      <c r="F41" s="12">
        <f>Geometry!$D$12*D41</f>
        <v>8.1340000000000003</v>
      </c>
      <c r="G41" s="4">
        <f t="shared" si="36"/>
        <v>0.83</v>
      </c>
      <c r="H41" s="4">
        <f t="shared" si="37"/>
        <v>1</v>
      </c>
      <c r="I41" s="15">
        <f t="shared" si="38"/>
        <v>1303760.9512397642</v>
      </c>
      <c r="J41" s="15">
        <f t="shared" si="39"/>
        <v>1466</v>
      </c>
      <c r="K41" s="15">
        <f>J41*Geometry!$J$2</f>
        <v>1303554.8611700956</v>
      </c>
      <c r="L41" s="15">
        <f t="shared" si="8"/>
        <v>1173199.3750530861</v>
      </c>
      <c r="M41" s="54">
        <f>L41*(Vehicle!$H$22)</f>
        <v>161182.38246862433</v>
      </c>
      <c r="N41" s="54">
        <f>L41*IF(MOD(E41,$C$5)&lt;1,Vehicle!$H$21,0)</f>
        <v>0</v>
      </c>
      <c r="O41" s="54">
        <f>L41*(Vehicle!$H$23)</f>
        <v>9840.2307625540398</v>
      </c>
      <c r="P41" s="54">
        <f>L41*IF(MOD(E41,$C$5)&lt;1,Vehicle!$H$24,0)</f>
        <v>0</v>
      </c>
      <c r="Q41" s="54">
        <f>L41*(Vehicle!$H$25)</f>
        <v>33796.750431659086</v>
      </c>
      <c r="R41" s="54">
        <f>L41*(Vehicle!$H$26)</f>
        <v>8141.8523331229235</v>
      </c>
      <c r="S41" s="54">
        <f>L41*IF(MOD(E41,$C$5)&lt;1,Vehicle!$H$27,0)</f>
        <v>0</v>
      </c>
      <c r="T41" s="54"/>
      <c r="U41" s="54">
        <f t="shared" si="40"/>
        <v>272648.41129353381</v>
      </c>
    </row>
    <row r="42" spans="1:21">
      <c r="A42" s="7">
        <f t="shared" si="4"/>
        <v>34</v>
      </c>
      <c r="B42" s="54">
        <f t="shared" si="34"/>
        <v>80</v>
      </c>
      <c r="C42" s="7">
        <v>1</v>
      </c>
      <c r="D42" s="63">
        <f>D41+LOOKUP(C42,Geometry!$J$29:$K$35)</f>
        <v>420</v>
      </c>
      <c r="E42" s="63">
        <f t="shared" si="35"/>
        <v>80</v>
      </c>
      <c r="F42" s="12">
        <f>Geometry!$D$12*D42</f>
        <v>8.2320000000000011</v>
      </c>
      <c r="G42" s="4">
        <f t="shared" si="36"/>
        <v>0.84000000000000008</v>
      </c>
      <c r="H42" s="4">
        <f t="shared" si="37"/>
        <v>1</v>
      </c>
      <c r="I42" s="15">
        <f t="shared" si="38"/>
        <v>1319468.9145077132</v>
      </c>
      <c r="J42" s="15">
        <f t="shared" si="39"/>
        <v>1483</v>
      </c>
      <c r="K42" s="15">
        <f>J42*Geometry!$J$2</f>
        <v>1318671.1180868021</v>
      </c>
      <c r="L42" s="15">
        <f t="shared" si="8"/>
        <v>1186804.0062781218</v>
      </c>
      <c r="M42" s="54">
        <f>L42*(Vehicle!$H$22)</f>
        <v>163051.48240175299</v>
      </c>
      <c r="N42" s="54">
        <f>L42*IF(MOD(E42,$C$5)&lt;1,Vehicle!$H$21,0)</f>
        <v>295010.71391778725</v>
      </c>
      <c r="O42" s="54">
        <f>L42*(Vehicle!$H$23)</f>
        <v>9954.3398505236291</v>
      </c>
      <c r="P42" s="54">
        <f>L42*IF(MOD(E42,$C$5)&lt;1,Vehicle!$H$24,0)</f>
        <v>21834.015212955383</v>
      </c>
      <c r="Q42" s="54">
        <f>L42*(Vehicle!$H$25)</f>
        <v>34188.663635846133</v>
      </c>
      <c r="R42" s="54">
        <f>L42*(Vehicle!$H$26)</f>
        <v>8236.2667189776912</v>
      </c>
      <c r="S42" s="54">
        <f>L42*IF(MOD(E42,$C$5)&lt;1,Vehicle!$H$27,0)</f>
        <v>8236.2667189776912</v>
      </c>
      <c r="T42" s="54"/>
      <c r="U42" s="54">
        <f t="shared" si="40"/>
        <v>194539.84240749534</v>
      </c>
    </row>
    <row r="43" spans="1:21">
      <c r="A43" s="7">
        <f t="shared" si="4"/>
        <v>35</v>
      </c>
      <c r="B43" s="54">
        <f t="shared" si="34"/>
        <v>75</v>
      </c>
      <c r="C43" s="7">
        <v>1</v>
      </c>
      <c r="D43" s="63">
        <f>D42+LOOKUP(C43,Geometry!$J$29:$K$35)</f>
        <v>425</v>
      </c>
      <c r="E43" s="63">
        <f t="shared" si="35"/>
        <v>75</v>
      </c>
      <c r="F43" s="12">
        <f>Geometry!$D$12*D43</f>
        <v>8.3300000000000018</v>
      </c>
      <c r="G43" s="4">
        <f t="shared" si="36"/>
        <v>0.85000000000000009</v>
      </c>
      <c r="H43" s="4">
        <f t="shared" si="37"/>
        <v>1</v>
      </c>
      <c r="I43" s="15">
        <f t="shared" si="38"/>
        <v>1335176.8777756619</v>
      </c>
      <c r="J43" s="15">
        <f t="shared" si="39"/>
        <v>1501</v>
      </c>
      <c r="K43" s="15">
        <f>J43*Geometry!$J$2</f>
        <v>1334676.5665868442</v>
      </c>
      <c r="L43" s="15">
        <f t="shared" si="8"/>
        <v>1201208.9099281598</v>
      </c>
      <c r="M43" s="54">
        <f>L43*(Vehicle!$H$22)</f>
        <v>165030.52938977157</v>
      </c>
      <c r="N43" s="54">
        <f>L43*IF(MOD(E43,$C$5)&lt;1,Vehicle!$H$21,0)</f>
        <v>0</v>
      </c>
      <c r="O43" s="54">
        <f>L43*(Vehicle!$H$23)</f>
        <v>10075.161237785547</v>
      </c>
      <c r="P43" s="54">
        <f>L43*IF(MOD(E43,$C$5)&lt;1,Vehicle!$H$24,0)</f>
        <v>0</v>
      </c>
      <c r="Q43" s="54">
        <f>L43*(Vehicle!$H$25)</f>
        <v>34603.630557926532</v>
      </c>
      <c r="R43" s="54">
        <f>L43*(Vehicle!$H$26)</f>
        <v>8336.2348922356814</v>
      </c>
      <c r="S43" s="54">
        <f>L43*IF(MOD(E43,$C$5)&lt;1,Vehicle!$H$27,0)</f>
        <v>0</v>
      </c>
      <c r="T43" s="54"/>
      <c r="U43" s="54">
        <f t="shared" si="40"/>
        <v>279157.75262728118</v>
      </c>
    </row>
    <row r="44" spans="1:21">
      <c r="A44" s="7">
        <f t="shared" si="4"/>
        <v>36</v>
      </c>
      <c r="B44" s="54">
        <f t="shared" si="34"/>
        <v>70</v>
      </c>
      <c r="C44" s="7">
        <v>1</v>
      </c>
      <c r="D44" s="63">
        <f>D43+LOOKUP(C44,Geometry!$J$29:$K$35)</f>
        <v>430</v>
      </c>
      <c r="E44" s="63">
        <f t="shared" si="35"/>
        <v>70</v>
      </c>
      <c r="F44" s="12">
        <f>Geometry!$D$12*D44</f>
        <v>8.4280000000000008</v>
      </c>
      <c r="G44" s="4">
        <f t="shared" si="36"/>
        <v>0.86</v>
      </c>
      <c r="H44" s="4">
        <f t="shared" si="37"/>
        <v>1</v>
      </c>
      <c r="I44" s="15">
        <f t="shared" si="38"/>
        <v>1350884.8410436111</v>
      </c>
      <c r="J44" s="15">
        <f t="shared" si="39"/>
        <v>1519</v>
      </c>
      <c r="K44" s="15">
        <f>J44*Geometry!$J$2</f>
        <v>1350682.0150868862</v>
      </c>
      <c r="L44" s="15">
        <f t="shared" si="8"/>
        <v>1215613.8135781977</v>
      </c>
      <c r="M44" s="54">
        <f>L44*(Vehicle!$H$22)</f>
        <v>167009.57637779016</v>
      </c>
      <c r="N44" s="54">
        <f>L44*IF(MOD(E44,$C$5)&lt;1,Vehicle!$H$21,0)</f>
        <v>0</v>
      </c>
      <c r="O44" s="54">
        <f>L44*(Vehicle!$H$23)</f>
        <v>10195.982625047467</v>
      </c>
      <c r="P44" s="54">
        <f>L44*IF(MOD(E44,$C$5)&lt;1,Vehicle!$H$24,0)</f>
        <v>0</v>
      </c>
      <c r="Q44" s="54">
        <f>L44*(Vehicle!$H$25)</f>
        <v>35018.597480006931</v>
      </c>
      <c r="R44" s="54">
        <f>L44*(Vehicle!$H$26)</f>
        <v>8436.2030654936716</v>
      </c>
      <c r="S44" s="54">
        <f>L44*IF(MOD(E44,$C$5)&lt;1,Vehicle!$H$27,0)</f>
        <v>0</v>
      </c>
      <c r="T44" s="54"/>
      <c r="U44" s="54">
        <f t="shared" si="40"/>
        <v>282505.413884637</v>
      </c>
    </row>
    <row r="45" spans="1:21">
      <c r="A45" s="7">
        <f t="shared" si="4"/>
        <v>37</v>
      </c>
      <c r="B45" s="54">
        <f t="shared" si="34"/>
        <v>65</v>
      </c>
      <c r="C45" s="7">
        <v>1</v>
      </c>
      <c r="D45" s="63">
        <f>D44+LOOKUP(C45,Geometry!$J$29:$K$35)</f>
        <v>435</v>
      </c>
      <c r="E45" s="63">
        <f t="shared" si="35"/>
        <v>65</v>
      </c>
      <c r="F45" s="12">
        <f>Geometry!$D$12*D45</f>
        <v>8.5260000000000016</v>
      </c>
      <c r="G45" s="4">
        <f t="shared" si="36"/>
        <v>0.87000000000000011</v>
      </c>
      <c r="H45" s="4">
        <f t="shared" si="37"/>
        <v>1</v>
      </c>
      <c r="I45" s="15">
        <f t="shared" si="38"/>
        <v>1366592.80431156</v>
      </c>
      <c r="J45" s="15">
        <f t="shared" si="39"/>
        <v>1536</v>
      </c>
      <c r="K45" s="15">
        <f>J45*Geometry!$J$2</f>
        <v>1365798.2720035927</v>
      </c>
      <c r="L45" s="15">
        <f t="shared" si="8"/>
        <v>1229218.4448032335</v>
      </c>
      <c r="M45" s="54">
        <f>L45*(Vehicle!$H$22)</f>
        <v>168878.67631091882</v>
      </c>
      <c r="N45" s="54">
        <f>L45*IF(MOD(E45,$C$5)&lt;1,Vehicle!$H$21,0)</f>
        <v>0</v>
      </c>
      <c r="O45" s="54">
        <f>L45*(Vehicle!$H$23)</f>
        <v>10310.091713017056</v>
      </c>
      <c r="P45" s="54">
        <f>L45*IF(MOD(E45,$C$5)&lt;1,Vehicle!$H$24,0)</f>
        <v>0</v>
      </c>
      <c r="Q45" s="54">
        <f>L45*(Vehicle!$H$25)</f>
        <v>35410.510684193971</v>
      </c>
      <c r="R45" s="54">
        <f>L45*(Vehicle!$H$26)</f>
        <v>8530.6174513484384</v>
      </c>
      <c r="S45" s="54">
        <f>L45*IF(MOD(E45,$C$5)&lt;1,Vehicle!$H$27,0)</f>
        <v>0</v>
      </c>
      <c r="T45" s="54"/>
      <c r="U45" s="54">
        <f t="shared" si="40"/>
        <v>285667.09396102862</v>
      </c>
    </row>
    <row r="46" spans="1:21">
      <c r="A46" s="7">
        <f t="shared" si="4"/>
        <v>38</v>
      </c>
      <c r="B46" s="54">
        <f t="shared" si="34"/>
        <v>60</v>
      </c>
      <c r="C46" s="7">
        <v>1</v>
      </c>
      <c r="D46" s="63">
        <f>D45+LOOKUP(C46,Geometry!$J$29:$K$35)</f>
        <v>440</v>
      </c>
      <c r="E46" s="63">
        <f t="shared" si="35"/>
        <v>60</v>
      </c>
      <c r="F46" s="12">
        <f>Geometry!$D$12*D46</f>
        <v>8.6240000000000006</v>
      </c>
      <c r="G46" s="4">
        <f t="shared" si="36"/>
        <v>0.88</v>
      </c>
      <c r="H46" s="4">
        <f t="shared" si="37"/>
        <v>1</v>
      </c>
      <c r="I46" s="15">
        <f t="shared" si="38"/>
        <v>1382300.7675795089</v>
      </c>
      <c r="J46" s="15">
        <f t="shared" si="39"/>
        <v>1554</v>
      </c>
      <c r="K46" s="15">
        <f>J46*Geometry!$J$2</f>
        <v>1381803.7205036348</v>
      </c>
      <c r="L46" s="15">
        <f t="shared" si="8"/>
        <v>1243623.3484532714</v>
      </c>
      <c r="M46" s="54">
        <f>L46*(Vehicle!$H$22)</f>
        <v>170857.7232989374</v>
      </c>
      <c r="N46" s="54">
        <f>L46*IF(MOD(E46,$C$5)&lt;1,Vehicle!$H$21,0)</f>
        <v>309134.62537305558</v>
      </c>
      <c r="O46" s="54">
        <f>L46*(Vehicle!$H$23)</f>
        <v>10430.913100278976</v>
      </c>
      <c r="P46" s="54">
        <f>L46*IF(MOD(E46,$C$5)&lt;1,Vehicle!$H$24,0)</f>
        <v>22879.338935220952</v>
      </c>
      <c r="Q46" s="54">
        <f>L46*(Vehicle!$H$25)</f>
        <v>35825.477606274369</v>
      </c>
      <c r="R46" s="54">
        <f>L46*(Vehicle!$H$26)</f>
        <v>8630.5856246064286</v>
      </c>
      <c r="S46" s="54">
        <f>L46*IF(MOD(E46,$C$5)&lt;1,Vehicle!$H$27,0)</f>
        <v>8630.5856246064286</v>
      </c>
      <c r="T46" s="54"/>
      <c r="U46" s="54">
        <f t="shared" si="40"/>
        <v>203853.61773516363</v>
      </c>
    </row>
    <row r="47" spans="1:21">
      <c r="A47" s="7">
        <f t="shared" si="4"/>
        <v>39</v>
      </c>
      <c r="B47" s="54">
        <f t="shared" si="34"/>
        <v>55</v>
      </c>
      <c r="C47" s="7">
        <v>1</v>
      </c>
      <c r="D47" s="63">
        <f>D46+LOOKUP(C47,Geometry!$J$29:$K$35)</f>
        <v>445</v>
      </c>
      <c r="E47" s="63">
        <f t="shared" si="35"/>
        <v>55</v>
      </c>
      <c r="F47" s="12">
        <f>Geometry!$D$12*D47</f>
        <v>8.7220000000000013</v>
      </c>
      <c r="G47" s="4">
        <f t="shared" si="36"/>
        <v>0.89000000000000012</v>
      </c>
      <c r="H47" s="4">
        <f t="shared" si="37"/>
        <v>1</v>
      </c>
      <c r="I47" s="15">
        <f t="shared" si="38"/>
        <v>1398008.7308474579</v>
      </c>
      <c r="J47" s="15">
        <f t="shared" si="39"/>
        <v>1572</v>
      </c>
      <c r="K47" s="15">
        <f>J47*Geometry!$J$2</f>
        <v>1397809.1690036769</v>
      </c>
      <c r="L47" s="15">
        <f t="shared" si="8"/>
        <v>1258028.2521033091</v>
      </c>
      <c r="M47" s="54">
        <f>L47*(Vehicle!$H$22)</f>
        <v>172836.77028695596</v>
      </c>
      <c r="N47" s="54">
        <f>L47*IF(MOD(E47,$C$5)&lt;1,Vehicle!$H$21,0)</f>
        <v>0</v>
      </c>
      <c r="O47" s="54">
        <f>L47*(Vehicle!$H$23)</f>
        <v>10551.734487540893</v>
      </c>
      <c r="P47" s="54">
        <f>L47*IF(MOD(E47,$C$5)&lt;1,Vehicle!$H$24,0)</f>
        <v>0</v>
      </c>
      <c r="Q47" s="54">
        <f>L47*(Vehicle!$H$25)</f>
        <v>36240.444528354761</v>
      </c>
      <c r="R47" s="54">
        <f>L47*(Vehicle!$H$26)</f>
        <v>8730.553797864417</v>
      </c>
      <c r="S47" s="54">
        <f>L47*IF(MOD(E47,$C$5)&lt;1,Vehicle!$H$27,0)</f>
        <v>0</v>
      </c>
      <c r="T47" s="54"/>
      <c r="U47" s="54">
        <f t="shared" si="40"/>
        <v>292362.4164757402</v>
      </c>
    </row>
    <row r="48" spans="1:21">
      <c r="A48" s="7">
        <f t="shared" si="4"/>
        <v>40</v>
      </c>
      <c r="B48" s="54">
        <f t="shared" si="34"/>
        <v>50</v>
      </c>
      <c r="C48" s="7">
        <v>1</v>
      </c>
      <c r="D48" s="63">
        <f>D47+LOOKUP(C48,Geometry!$J$29:$K$35)</f>
        <v>450</v>
      </c>
      <c r="E48" s="63">
        <f t="shared" si="35"/>
        <v>50</v>
      </c>
      <c r="F48" s="12">
        <f>Geometry!$D$12*D48</f>
        <v>8.8200000000000021</v>
      </c>
      <c r="G48" s="4">
        <f t="shared" si="36"/>
        <v>0.90000000000000013</v>
      </c>
      <c r="H48" s="4">
        <f t="shared" si="37"/>
        <v>1</v>
      </c>
      <c r="I48" s="15">
        <f t="shared" si="38"/>
        <v>1413716.6941154068</v>
      </c>
      <c r="J48" s="15">
        <f t="shared" si="39"/>
        <v>1589</v>
      </c>
      <c r="K48" s="15">
        <f>J48*Geometry!$J$2</f>
        <v>1412925.4259203833</v>
      </c>
      <c r="L48" s="15">
        <f t="shared" si="8"/>
        <v>1271632.8833283449</v>
      </c>
      <c r="M48" s="54">
        <f>L48*(Vehicle!$H$22)</f>
        <v>174705.87022008462</v>
      </c>
      <c r="N48" s="54">
        <f>L48*IF(MOD(E48,$C$5)&lt;1,Vehicle!$H$21,0)</f>
        <v>0</v>
      </c>
      <c r="O48" s="54">
        <f>L48*(Vehicle!$H$23)</f>
        <v>10665.843575510482</v>
      </c>
      <c r="P48" s="54">
        <f>L48*IF(MOD(E48,$C$5)&lt;1,Vehicle!$H$24,0)</f>
        <v>0</v>
      </c>
      <c r="Q48" s="54">
        <f>L48*(Vehicle!$H$25)</f>
        <v>36632.357732541808</v>
      </c>
      <c r="R48" s="54">
        <f>L48*(Vehicle!$H$26)</f>
        <v>8824.9681837191838</v>
      </c>
      <c r="S48" s="54">
        <f>L48*IF(MOD(E48,$C$5)&lt;1,Vehicle!$H$27,0)</f>
        <v>0</v>
      </c>
      <c r="T48" s="54"/>
      <c r="U48" s="54">
        <f t="shared" si="40"/>
        <v>295524.09655213181</v>
      </c>
    </row>
    <row r="49" spans="1:21">
      <c r="A49" s="7">
        <f t="shared" si="4"/>
        <v>41</v>
      </c>
      <c r="B49" s="54">
        <f t="shared" ref="B49:B67" si="41">B48-(D49-D48)</f>
        <v>45</v>
      </c>
      <c r="C49" s="7">
        <v>1</v>
      </c>
      <c r="D49" s="63">
        <f>D48+LOOKUP(C49,Geometry!$J$29:$K$35)</f>
        <v>455</v>
      </c>
      <c r="E49" s="63">
        <f t="shared" ref="E49:E67" si="42">E48-(D49-D48)</f>
        <v>45</v>
      </c>
      <c r="F49" s="12">
        <f>Geometry!$D$12*D49</f>
        <v>8.918000000000001</v>
      </c>
      <c r="G49" s="4">
        <f t="shared" ref="G49:G67" si="43">IF(H49&gt;0,F49/9.8,0)</f>
        <v>0.91</v>
      </c>
      <c r="H49" s="4">
        <f t="shared" ref="H49:H67" si="44">IF(D49&lt;=$F$5,1,0)</f>
        <v>1</v>
      </c>
      <c r="I49" s="15">
        <f t="shared" ref="I49:I67" si="45">IF(D49&lt;=$F$5,D49*2*PI()*$C$2*H49,0)</f>
        <v>1429424.657383356</v>
      </c>
      <c r="J49" s="15">
        <f t="shared" ref="J49:J67" si="46">FLOOR(I49/$J$1,1)</f>
        <v>1607</v>
      </c>
      <c r="K49" s="15">
        <f>J49*Geometry!$J$2</f>
        <v>1428930.8744204254</v>
      </c>
      <c r="L49" s="15">
        <f t="shared" si="8"/>
        <v>1286037.7869783829</v>
      </c>
      <c r="M49" s="54">
        <f>K49*(Vehicle!$H$22*0.75)</f>
        <v>147237.43100675265</v>
      </c>
      <c r="N49" s="54">
        <f>L49*IF(MOD(E49,$C$5)&lt;1,Vehicle!$H$21,0)</f>
        <v>0</v>
      </c>
      <c r="O49" s="54">
        <f>L49*(Vehicle!$H$23)</f>
        <v>10786.664962772402</v>
      </c>
      <c r="P49" s="54">
        <f>L49*IF(MOD(E49,$C$5)&lt;1,Vehicle!$H$24,0)</f>
        <v>0</v>
      </c>
      <c r="Q49" s="54">
        <f>L49*(Vehicle!$H$25)</f>
        <v>37047.324654622207</v>
      </c>
      <c r="R49" s="54">
        <f>L49*(Vehicle!$H$26)</f>
        <v>8924.936356977174</v>
      </c>
      <c r="S49" s="54">
        <f>L49*IF(MOD(E49,$C$5)&lt;1,Vehicle!$H$27,0)</f>
        <v>0</v>
      </c>
      <c r="T49" s="54"/>
      <c r="U49" s="54">
        <f t="shared" ref="U49:U67" si="47">(K49-SUM(M49:S49))*0.25</f>
        <v>306233.62935982522</v>
      </c>
    </row>
    <row r="50" spans="1:21">
      <c r="A50" s="7">
        <f t="shared" si="4"/>
        <v>42</v>
      </c>
      <c r="B50" s="54">
        <f t="shared" si="41"/>
        <v>40</v>
      </c>
      <c r="C50" s="7">
        <v>1</v>
      </c>
      <c r="D50" s="63">
        <f>D49+LOOKUP(C50,Geometry!$J$29:$K$35)</f>
        <v>460</v>
      </c>
      <c r="E50" s="63">
        <f t="shared" si="42"/>
        <v>40</v>
      </c>
      <c r="F50" s="12">
        <f>Geometry!$D$12*D50</f>
        <v>9.0160000000000018</v>
      </c>
      <c r="G50" s="4">
        <f t="shared" si="43"/>
        <v>0.92000000000000015</v>
      </c>
      <c r="H50" s="4">
        <f t="shared" si="44"/>
        <v>1</v>
      </c>
      <c r="I50" s="15">
        <f t="shared" si="45"/>
        <v>1445132.620651305</v>
      </c>
      <c r="J50" s="15">
        <f t="shared" si="46"/>
        <v>1625</v>
      </c>
      <c r="K50" s="15">
        <f>J50*Geometry!$J$2</f>
        <v>1444936.3229204677</v>
      </c>
      <c r="L50" s="15">
        <f t="shared" si="8"/>
        <v>1300442.690628421</v>
      </c>
      <c r="M50" s="54">
        <f>K50*(Vehicle!$H$22*0.75)</f>
        <v>148886.63683010152</v>
      </c>
      <c r="N50" s="54">
        <f>L50*IF(MOD(E50,$C$5)&lt;1,Vehicle!$H$21,0)</f>
        <v>323258.53682832391</v>
      </c>
      <c r="O50" s="54">
        <f>L50*(Vehicle!$H$23)</f>
        <v>10907.486350034322</v>
      </c>
      <c r="P50" s="54">
        <f>L50*IF(MOD(E50,$C$5)&lt;1,Vehicle!$H$24,0)</f>
        <v>23924.662657486519</v>
      </c>
      <c r="Q50" s="54">
        <f>L50*(Vehicle!$H$25)</f>
        <v>37462.291576702613</v>
      </c>
      <c r="R50" s="54">
        <f>L50*(Vehicle!$H$26)</f>
        <v>9024.904530235166</v>
      </c>
      <c r="S50" s="54">
        <f>L50*IF(MOD(E50,$C$5)&lt;1,Vehicle!$H$27,0)</f>
        <v>9024.904530235166</v>
      </c>
      <c r="T50" s="54"/>
      <c r="U50" s="54">
        <f t="shared" si="47"/>
        <v>220611.72490433708</v>
      </c>
    </row>
    <row r="51" spans="1:21">
      <c r="A51" s="7">
        <f t="shared" si="4"/>
        <v>43</v>
      </c>
      <c r="B51" s="54">
        <f t="shared" si="41"/>
        <v>35</v>
      </c>
      <c r="C51" s="7">
        <v>1</v>
      </c>
      <c r="D51" s="63">
        <f>D50+LOOKUP(C51,Geometry!$J$29:$K$35)</f>
        <v>465</v>
      </c>
      <c r="E51" s="63">
        <f t="shared" si="42"/>
        <v>35</v>
      </c>
      <c r="F51" s="12">
        <f>Geometry!$D$12*D51</f>
        <v>9.1140000000000008</v>
      </c>
      <c r="G51" s="4">
        <f t="shared" si="43"/>
        <v>0.93</v>
      </c>
      <c r="H51" s="4">
        <f t="shared" si="44"/>
        <v>1</v>
      </c>
      <c r="I51" s="15">
        <f t="shared" si="45"/>
        <v>1460840.5839192537</v>
      </c>
      <c r="J51" s="15">
        <f t="shared" si="46"/>
        <v>1642</v>
      </c>
      <c r="K51" s="15">
        <f>J51*Geometry!$J$2</f>
        <v>1460052.5798371739</v>
      </c>
      <c r="L51" s="15">
        <f t="shared" si="8"/>
        <v>1314047.3218534566</v>
      </c>
      <c r="M51" s="54">
        <f>K51*(Vehicle!$H$22*0.75)</f>
        <v>150444.22010770871</v>
      </c>
      <c r="N51" s="54">
        <f>L51*IF(MOD(E51,$C$5)&lt;1,Vehicle!$H$21,0)</f>
        <v>0</v>
      </c>
      <c r="O51" s="54">
        <f>L51*(Vehicle!$H$23)</f>
        <v>11021.595438003909</v>
      </c>
      <c r="P51" s="54">
        <f>L51*IF(MOD(E51,$C$5)&lt;1,Vehicle!$H$24,0)</f>
        <v>0</v>
      </c>
      <c r="Q51" s="54">
        <f>L51*(Vehicle!$H$25)</f>
        <v>37854.204780889646</v>
      </c>
      <c r="R51" s="54">
        <f>L51*(Vehicle!$H$26)</f>
        <v>9119.3189160899328</v>
      </c>
      <c r="S51" s="54">
        <f>L51*IF(MOD(E51,$C$5)&lt;1,Vehicle!$H$27,0)</f>
        <v>0</v>
      </c>
      <c r="T51" s="54"/>
      <c r="U51" s="54">
        <f t="shared" si="47"/>
        <v>312903.31014862045</v>
      </c>
    </row>
    <row r="52" spans="1:21">
      <c r="A52" s="7">
        <f t="shared" si="4"/>
        <v>44</v>
      </c>
      <c r="B52" s="54">
        <f t="shared" si="41"/>
        <v>30</v>
      </c>
      <c r="C52" s="7">
        <v>1</v>
      </c>
      <c r="D52" s="63">
        <f>D51+LOOKUP(C52,Geometry!$J$29:$K$35)</f>
        <v>470</v>
      </c>
      <c r="E52" s="63">
        <f t="shared" si="42"/>
        <v>30</v>
      </c>
      <c r="F52" s="12">
        <f>Geometry!$D$12*D52</f>
        <v>9.2120000000000015</v>
      </c>
      <c r="G52" s="4">
        <f t="shared" si="43"/>
        <v>0.94000000000000006</v>
      </c>
      <c r="H52" s="4">
        <f t="shared" si="44"/>
        <v>1</v>
      </c>
      <c r="I52" s="15">
        <f t="shared" si="45"/>
        <v>1476548.5471872028</v>
      </c>
      <c r="J52" s="15">
        <f t="shared" si="46"/>
        <v>1660</v>
      </c>
      <c r="K52" s="15">
        <f>J52*Geometry!$J$2</f>
        <v>1476058.0283372162</v>
      </c>
      <c r="L52" s="15">
        <f t="shared" si="8"/>
        <v>1328452.2255034947</v>
      </c>
      <c r="M52" s="54">
        <f>K52*(Vehicle!$H$22*0.75)</f>
        <v>152093.42593105754</v>
      </c>
      <c r="N52" s="54">
        <f>L52*IF(MOD(E52,$C$5)&lt;1,Vehicle!$H$21,0)</f>
        <v>0</v>
      </c>
      <c r="O52" s="54">
        <f>L52*(Vehicle!$H$23)</f>
        <v>11142.416825265831</v>
      </c>
      <c r="P52" s="54">
        <f>L52*IF(MOD(E52,$C$5)&lt;1,Vehicle!$H$24,0)</f>
        <v>0</v>
      </c>
      <c r="Q52" s="54">
        <f>L52*(Vehicle!$H$25)</f>
        <v>38269.171702970052</v>
      </c>
      <c r="R52" s="54">
        <f>L52*(Vehicle!$H$26)</f>
        <v>9219.287089347923</v>
      </c>
      <c r="S52" s="54">
        <f>L52*IF(MOD(E52,$C$5)&lt;1,Vehicle!$H$27,0)</f>
        <v>0</v>
      </c>
      <c r="T52" s="54"/>
      <c r="U52" s="54">
        <f t="shared" si="47"/>
        <v>316333.43169714371</v>
      </c>
    </row>
    <row r="53" spans="1:21">
      <c r="A53" s="7">
        <f t="shared" si="4"/>
        <v>45</v>
      </c>
      <c r="B53" s="54">
        <f t="shared" si="41"/>
        <v>25</v>
      </c>
      <c r="C53" s="7">
        <v>1</v>
      </c>
      <c r="D53" s="63">
        <f>D52+LOOKUP(C53,Geometry!$J$29:$K$35)</f>
        <v>475</v>
      </c>
      <c r="E53" s="63">
        <f t="shared" si="42"/>
        <v>25</v>
      </c>
      <c r="F53" s="12">
        <f>Geometry!$D$12*D53</f>
        <v>9.31</v>
      </c>
      <c r="G53" s="4">
        <f t="shared" si="43"/>
        <v>0.95</v>
      </c>
      <c r="H53" s="4">
        <f t="shared" si="44"/>
        <v>1</v>
      </c>
      <c r="I53" s="15">
        <f t="shared" si="45"/>
        <v>1492256.5104551518</v>
      </c>
      <c r="J53" s="15">
        <f t="shared" si="46"/>
        <v>1678</v>
      </c>
      <c r="K53" s="15">
        <f>J53*Geometry!$J$2</f>
        <v>1492063.4768372583</v>
      </c>
      <c r="L53" s="15">
        <f t="shared" si="8"/>
        <v>1342857.1291535324</v>
      </c>
      <c r="M53" s="54">
        <f>K53*(Vehicle!$H$22*0.75)</f>
        <v>153742.63175440635</v>
      </c>
      <c r="N53" s="54">
        <f>L53*IF(MOD(E53,$C$5)&lt;1,Vehicle!$H$21,0)</f>
        <v>0</v>
      </c>
      <c r="O53" s="54">
        <f>L53*(Vehicle!$H$23)</f>
        <v>11263.238212527747</v>
      </c>
      <c r="P53" s="54">
        <f>L53*IF(MOD(E53,$C$5)&lt;1,Vehicle!$H$24,0)</f>
        <v>0</v>
      </c>
      <c r="Q53" s="54">
        <f>L53*(Vehicle!$H$25)</f>
        <v>38684.138625050444</v>
      </c>
      <c r="R53" s="54">
        <f>L53*(Vehicle!$H$26)</f>
        <v>9319.2552626059114</v>
      </c>
      <c r="S53" s="54">
        <f>L53*IF(MOD(E53,$C$5)&lt;1,Vehicle!$H$27,0)</f>
        <v>0</v>
      </c>
      <c r="T53" s="54"/>
      <c r="U53" s="54">
        <f t="shared" si="47"/>
        <v>319763.55324566696</v>
      </c>
    </row>
    <row r="54" spans="1:21">
      <c r="A54" s="7">
        <f t="shared" si="4"/>
        <v>46</v>
      </c>
      <c r="B54" s="54">
        <f t="shared" si="41"/>
        <v>20</v>
      </c>
      <c r="C54" s="7">
        <v>1</v>
      </c>
      <c r="D54" s="63">
        <f>D53+LOOKUP(C54,Geometry!$J$29:$K$35)</f>
        <v>480</v>
      </c>
      <c r="E54" s="63">
        <f t="shared" si="42"/>
        <v>20</v>
      </c>
      <c r="F54" s="12">
        <f>Geometry!$D$12*D54</f>
        <v>9.4080000000000013</v>
      </c>
      <c r="G54" s="4">
        <f t="shared" si="43"/>
        <v>0.96000000000000008</v>
      </c>
      <c r="H54" s="4">
        <f t="shared" si="44"/>
        <v>1</v>
      </c>
      <c r="I54" s="15">
        <f t="shared" si="45"/>
        <v>1507964.4737231005</v>
      </c>
      <c r="J54" s="15">
        <f t="shared" si="46"/>
        <v>1695</v>
      </c>
      <c r="K54" s="15">
        <f>J54*Geometry!$J$2</f>
        <v>1507179.7337539648</v>
      </c>
      <c r="L54" s="15">
        <f t="shared" si="8"/>
        <v>1356461.7603785684</v>
      </c>
      <c r="M54" s="54">
        <f>K54*(Vehicle!$H$22*0.75)</f>
        <v>155300.21503201357</v>
      </c>
      <c r="N54" s="54">
        <f>L54*IF(MOD(E54,$C$5)&lt;1,Vehicle!$H$21,0)</f>
        <v>337183.51995323633</v>
      </c>
      <c r="O54" s="54">
        <f>L54*(Vehicle!$H$23)</f>
        <v>11377.34730049734</v>
      </c>
      <c r="P54" s="54">
        <f>L54*IF(MOD(E54,$C$5)&lt;1,Vehicle!$H$24,0)</f>
        <v>24955.2635104244</v>
      </c>
      <c r="Q54" s="54">
        <f>L54*(Vehicle!$H$25)</f>
        <v>39076.051829237498</v>
      </c>
      <c r="R54" s="54">
        <f>L54*(Vehicle!$H$26)</f>
        <v>9413.6696484606819</v>
      </c>
      <c r="S54" s="54">
        <f>L54*IF(MOD(E54,$C$5)&lt;1,Vehicle!$H$27,0)</f>
        <v>9413.6696484606819</v>
      </c>
      <c r="T54" s="54"/>
      <c r="U54" s="54">
        <f t="shared" si="47"/>
        <v>230114.99920790855</v>
      </c>
    </row>
    <row r="55" spans="1:21">
      <c r="A55" s="7">
        <f t="shared" si="4"/>
        <v>47</v>
      </c>
      <c r="B55" s="54">
        <f t="shared" si="41"/>
        <v>15</v>
      </c>
      <c r="C55" s="7">
        <v>1</v>
      </c>
      <c r="D55" s="63">
        <f>D54+LOOKUP(C55,Geometry!$J$29:$K$35)</f>
        <v>485</v>
      </c>
      <c r="E55" s="63">
        <f t="shared" si="42"/>
        <v>15</v>
      </c>
      <c r="F55" s="12">
        <f>Geometry!$D$12*D55</f>
        <v>9.506000000000002</v>
      </c>
      <c r="G55" s="4">
        <f t="shared" si="43"/>
        <v>0.97000000000000008</v>
      </c>
      <c r="H55" s="4">
        <f t="shared" si="44"/>
        <v>1</v>
      </c>
      <c r="I55" s="15">
        <f t="shared" si="45"/>
        <v>1523672.4369910497</v>
      </c>
      <c r="J55" s="15">
        <f t="shared" si="46"/>
        <v>1713</v>
      </c>
      <c r="K55" s="15">
        <f>J55*Geometry!$J$2</f>
        <v>1523185.1822540069</v>
      </c>
      <c r="L55" s="15">
        <f t="shared" si="8"/>
        <v>1370866.6640286061</v>
      </c>
      <c r="M55" s="54">
        <f>K55*(Vehicle!$H$22*0.75)</f>
        <v>156949.42085536238</v>
      </c>
      <c r="N55" s="54">
        <f>L55*IF(MOD(E55,$C$5)&lt;1,Vehicle!$H$21,0)</f>
        <v>0</v>
      </c>
      <c r="O55" s="54">
        <f>L55*(Vehicle!$H$23)</f>
        <v>11498.168687759256</v>
      </c>
      <c r="P55" s="54">
        <f>L55*IF(MOD(E55,$C$5)&lt;1,Vehicle!$H$24,0)</f>
        <v>0</v>
      </c>
      <c r="Q55" s="54">
        <f>L55*(Vehicle!$H$25)</f>
        <v>39491.01875131789</v>
      </c>
      <c r="R55" s="54">
        <f>L55*(Vehicle!$H$26)</f>
        <v>9513.6378217186702</v>
      </c>
      <c r="S55" s="54">
        <f>L55*IF(MOD(E55,$C$5)&lt;1,Vehicle!$H$27,0)</f>
        <v>0</v>
      </c>
      <c r="T55" s="54"/>
      <c r="U55" s="54">
        <f t="shared" si="47"/>
        <v>326433.23403446213</v>
      </c>
    </row>
    <row r="56" spans="1:21">
      <c r="A56" s="7">
        <f t="shared" si="4"/>
        <v>48</v>
      </c>
      <c r="B56" s="54">
        <f t="shared" si="41"/>
        <v>10</v>
      </c>
      <c r="C56" s="7">
        <v>1</v>
      </c>
      <c r="D56" s="63">
        <f>D55+LOOKUP(C56,Geometry!$J$29:$K$35)</f>
        <v>490</v>
      </c>
      <c r="E56" s="63">
        <f t="shared" si="42"/>
        <v>10</v>
      </c>
      <c r="F56" s="12">
        <f>Geometry!$D$12*D56</f>
        <v>9.604000000000001</v>
      </c>
      <c r="G56" s="4">
        <f t="shared" si="43"/>
        <v>0.98</v>
      </c>
      <c r="H56" s="4">
        <f t="shared" si="44"/>
        <v>1</v>
      </c>
      <c r="I56" s="15">
        <f t="shared" si="45"/>
        <v>1539380.4002589986</v>
      </c>
      <c r="J56" s="15">
        <f t="shared" si="46"/>
        <v>1731</v>
      </c>
      <c r="K56" s="15">
        <f>J56*Geometry!$J$2</f>
        <v>1539190.6307540489</v>
      </c>
      <c r="L56" s="15">
        <f t="shared" si="8"/>
        <v>1385271.5676786441</v>
      </c>
      <c r="M56" s="54">
        <f>K56*(Vehicle!$H$22*0.75)</f>
        <v>158598.62667871121</v>
      </c>
      <c r="N56" s="54">
        <f>L56*IF(MOD(E56,$C$5)&lt;1,Vehicle!$H$21,0)</f>
        <v>0</v>
      </c>
      <c r="O56" s="54">
        <f>L56*(Vehicle!$H$23)</f>
        <v>11618.990075021176</v>
      </c>
      <c r="P56" s="54">
        <f>L56*IF(MOD(E56,$C$5)&lt;1,Vehicle!$H$24,0)</f>
        <v>0</v>
      </c>
      <c r="Q56" s="54">
        <f>L56*(Vehicle!$H$25)</f>
        <v>39905.985673398289</v>
      </c>
      <c r="R56" s="54">
        <f>L56*(Vehicle!$H$26)</f>
        <v>9613.6059949766586</v>
      </c>
      <c r="S56" s="54">
        <f>L56*IF(MOD(E56,$C$5)&lt;1,Vehicle!$H$27,0)</f>
        <v>0</v>
      </c>
      <c r="T56" s="54"/>
      <c r="U56" s="54">
        <f t="shared" si="47"/>
        <v>329863.35558298539</v>
      </c>
    </row>
    <row r="57" spans="1:21">
      <c r="A57" s="7">
        <f t="shared" si="4"/>
        <v>49</v>
      </c>
      <c r="B57" s="54">
        <f t="shared" si="41"/>
        <v>5</v>
      </c>
      <c r="C57" s="7">
        <v>1</v>
      </c>
      <c r="D57" s="63">
        <f>D56+LOOKUP(C57,Geometry!$J$29:$K$35)</f>
        <v>495</v>
      </c>
      <c r="E57" s="63">
        <f t="shared" si="42"/>
        <v>5</v>
      </c>
      <c r="F57" s="12">
        <f>Geometry!$D$12*D57</f>
        <v>9.7020000000000017</v>
      </c>
      <c r="G57" s="4">
        <f t="shared" si="43"/>
        <v>0.9900000000000001</v>
      </c>
      <c r="H57" s="4">
        <f t="shared" si="44"/>
        <v>1</v>
      </c>
      <c r="I57" s="15">
        <f t="shared" si="45"/>
        <v>1555088.3635269476</v>
      </c>
      <c r="J57" s="15">
        <f t="shared" si="46"/>
        <v>1748</v>
      </c>
      <c r="K57" s="15">
        <f>J57*Geometry!$J$2</f>
        <v>1554306.8876707554</v>
      </c>
      <c r="L57" s="15">
        <f t="shared" si="8"/>
        <v>1398876.1989036798</v>
      </c>
      <c r="M57" s="54">
        <f>K57*(Vehicle!$H$22*0.75)</f>
        <v>160156.2099563184</v>
      </c>
      <c r="N57" s="54">
        <f>L57*IF(MOD(E57,$C$5)&lt;1,Vehicle!$H$21,0)</f>
        <v>0</v>
      </c>
      <c r="O57" s="54">
        <f>L57*(Vehicle!$H$23)</f>
        <v>11733.099162990766</v>
      </c>
      <c r="P57" s="54">
        <f>L57*IF(MOD(E57,$C$5)&lt;1,Vehicle!$H$24,0)</f>
        <v>0</v>
      </c>
      <c r="Q57" s="54">
        <f>L57*(Vehicle!$H$25)</f>
        <v>40297.898877585329</v>
      </c>
      <c r="R57" s="54">
        <f>L57*(Vehicle!$H$26)</f>
        <v>9708.0203808314272</v>
      </c>
      <c r="S57" s="54">
        <f>L57*IF(MOD(E57,$C$5)&lt;1,Vehicle!$H$27,0)</f>
        <v>0</v>
      </c>
      <c r="T57" s="54"/>
      <c r="U57" s="54">
        <f t="shared" si="47"/>
        <v>333102.91482325736</v>
      </c>
    </row>
    <row r="58" spans="1:21">
      <c r="A58" s="7">
        <f t="shared" si="4"/>
        <v>50</v>
      </c>
      <c r="B58" s="54">
        <f t="shared" si="41"/>
        <v>0</v>
      </c>
      <c r="C58" s="7">
        <v>1</v>
      </c>
      <c r="D58" s="63">
        <f>D57+LOOKUP(C58,Geometry!$J$29:$K$35)</f>
        <v>500</v>
      </c>
      <c r="E58" s="63">
        <f t="shared" si="42"/>
        <v>0</v>
      </c>
      <c r="F58" s="12">
        <f>Geometry!$D$12*D58</f>
        <v>9.8000000000000007</v>
      </c>
      <c r="G58" s="4">
        <f t="shared" si="43"/>
        <v>1</v>
      </c>
      <c r="H58" s="4">
        <f t="shared" si="44"/>
        <v>1</v>
      </c>
      <c r="I58" s="15">
        <f t="shared" si="45"/>
        <v>1570796.3267948965</v>
      </c>
      <c r="J58" s="15">
        <f t="shared" si="46"/>
        <v>1766</v>
      </c>
      <c r="K58" s="15">
        <f>J58*Geometry!$J$2</f>
        <v>1570312.3361707975</v>
      </c>
      <c r="L58" s="15">
        <f t="shared" si="8"/>
        <v>1413281.1025537178</v>
      </c>
      <c r="M58" s="54">
        <f>K58*(Vehicle!$H$22*0.75)</f>
        <v>161805.41577966724</v>
      </c>
      <c r="N58" s="54">
        <f>L58*IF(MOD(E58,$C$5)&lt;1,Vehicle!$H$21,0)</f>
        <v>351307.43140850461</v>
      </c>
      <c r="O58" s="54">
        <f>L58*(Vehicle!$H$23)</f>
        <v>11853.920550252684</v>
      </c>
      <c r="P58" s="54">
        <f>L58*IF(MOD(E58,$C$5)&lt;1,Vehicle!$H$24,0)</f>
        <v>26000.587232689963</v>
      </c>
      <c r="Q58" s="54">
        <f>L58*(Vehicle!$H$25)</f>
        <v>40712.865799665728</v>
      </c>
      <c r="R58" s="54">
        <f>L58*(Vehicle!$H$26)</f>
        <v>9807.9885540894174</v>
      </c>
      <c r="S58" s="54">
        <f>L58*IF(MOD(E58,$C$5)&lt;1,Vehicle!$H$27,0)</f>
        <v>9807.9885540894174</v>
      </c>
      <c r="T58" s="54"/>
      <c r="U58" s="54">
        <f t="shared" si="47"/>
        <v>239754.03457295962</v>
      </c>
    </row>
    <row r="59" spans="1:21">
      <c r="A59" s="7">
        <f t="shared" si="4"/>
        <v>51</v>
      </c>
      <c r="B59" s="54">
        <f t="shared" si="41"/>
        <v>-5</v>
      </c>
      <c r="C59" s="7">
        <v>1</v>
      </c>
      <c r="D59" s="63">
        <f>D58+LOOKUP(C59,Geometry!$J$29:$K$35)</f>
        <v>505</v>
      </c>
      <c r="E59" s="63">
        <f t="shared" si="42"/>
        <v>-5</v>
      </c>
      <c r="F59" s="12">
        <f>Geometry!$D$12*D59</f>
        <v>9.8980000000000015</v>
      </c>
      <c r="G59" s="4">
        <f t="shared" si="43"/>
        <v>0</v>
      </c>
      <c r="H59" s="4">
        <f t="shared" si="44"/>
        <v>0</v>
      </c>
      <c r="I59" s="15">
        <f t="shared" si="45"/>
        <v>0</v>
      </c>
      <c r="J59" s="15">
        <f t="shared" si="46"/>
        <v>0</v>
      </c>
      <c r="K59" s="15">
        <f>J59*Geometry!$J$2</f>
        <v>0</v>
      </c>
      <c r="L59" s="15">
        <f t="shared" si="8"/>
        <v>0</v>
      </c>
      <c r="M59" s="54">
        <f>K59*(Vehicle!$H$22*0.75)</f>
        <v>0</v>
      </c>
      <c r="N59" s="54">
        <f>L59*IF(MOD(E59,$C$5)&lt;1,Vehicle!$H$21,0)</f>
        <v>0</v>
      </c>
      <c r="O59" s="54">
        <f>L59*(Vehicle!$H$23)</f>
        <v>0</v>
      </c>
      <c r="P59" s="54">
        <f>L59*IF(MOD(E59,$C$5)&lt;1,Vehicle!$H$24,0)</f>
        <v>0</v>
      </c>
      <c r="Q59" s="54">
        <f>L59*(Vehicle!$H$25)</f>
        <v>0</v>
      </c>
      <c r="R59" s="54">
        <f>L59*(Vehicle!$H$26)</f>
        <v>0</v>
      </c>
      <c r="S59" s="54">
        <f>L59*IF(MOD(E59,$C$5)&lt;1,Vehicle!$H$27,0)</f>
        <v>0</v>
      </c>
      <c r="T59" s="54"/>
      <c r="U59" s="54">
        <f t="shared" si="47"/>
        <v>0</v>
      </c>
    </row>
    <row r="60" spans="1:21">
      <c r="A60" s="7">
        <f t="shared" si="4"/>
        <v>52</v>
      </c>
      <c r="B60" s="54">
        <f t="shared" si="41"/>
        <v>-10</v>
      </c>
      <c r="C60" s="7">
        <v>1</v>
      </c>
      <c r="D60" s="63">
        <f>D59+LOOKUP(C60,Geometry!$J$29:$K$35)</f>
        <v>510</v>
      </c>
      <c r="E60" s="63">
        <f t="shared" si="42"/>
        <v>-10</v>
      </c>
      <c r="F60" s="12">
        <f>Geometry!$D$12*D60</f>
        <v>9.9960000000000022</v>
      </c>
      <c r="G60" s="4">
        <f t="shared" si="43"/>
        <v>0</v>
      </c>
      <c r="H60" s="4">
        <f t="shared" si="44"/>
        <v>0</v>
      </c>
      <c r="I60" s="15">
        <f t="shared" si="45"/>
        <v>0</v>
      </c>
      <c r="J60" s="15">
        <f t="shared" si="46"/>
        <v>0</v>
      </c>
      <c r="K60" s="15">
        <f>J60*Geometry!$J$2</f>
        <v>0</v>
      </c>
      <c r="L60" s="15">
        <f t="shared" si="8"/>
        <v>0</v>
      </c>
      <c r="M60" s="54">
        <f>K60*(Vehicle!$H$22*0.75)</f>
        <v>0</v>
      </c>
      <c r="N60" s="54">
        <f>L60*IF(MOD(E60,$C$5)&lt;1,Vehicle!$H$21,0)</f>
        <v>0</v>
      </c>
      <c r="O60" s="54">
        <f>L60*(Vehicle!$H$23)</f>
        <v>0</v>
      </c>
      <c r="P60" s="54">
        <f>L60*IF(MOD(E60,$C$5)&lt;1,Vehicle!$H$24,0)</f>
        <v>0</v>
      </c>
      <c r="Q60" s="54">
        <f>L60*(Vehicle!$H$25)</f>
        <v>0</v>
      </c>
      <c r="R60" s="54">
        <f>L60*(Vehicle!$H$26)</f>
        <v>0</v>
      </c>
      <c r="S60" s="54">
        <f>L60*IF(MOD(E60,$C$5)&lt;1,Vehicle!$H$27,0)</f>
        <v>0</v>
      </c>
      <c r="T60" s="54"/>
      <c r="U60" s="54">
        <f t="shared" si="47"/>
        <v>0</v>
      </c>
    </row>
    <row r="61" spans="1:21">
      <c r="A61" s="7">
        <f t="shared" si="4"/>
        <v>53</v>
      </c>
      <c r="B61" s="54">
        <f t="shared" si="41"/>
        <v>-15</v>
      </c>
      <c r="C61" s="7">
        <v>1</v>
      </c>
      <c r="D61" s="63">
        <f>D60+LOOKUP(C61,Geometry!$J$29:$K$35)</f>
        <v>515</v>
      </c>
      <c r="E61" s="63">
        <f t="shared" si="42"/>
        <v>-15</v>
      </c>
      <c r="F61" s="12">
        <f>Geometry!$D$12*D61</f>
        <v>10.094000000000001</v>
      </c>
      <c r="G61" s="4">
        <f t="shared" si="43"/>
        <v>0</v>
      </c>
      <c r="H61" s="4">
        <f t="shared" si="44"/>
        <v>0</v>
      </c>
      <c r="I61" s="15">
        <f t="shared" si="45"/>
        <v>0</v>
      </c>
      <c r="J61" s="15">
        <f t="shared" si="46"/>
        <v>0</v>
      </c>
      <c r="K61" s="15">
        <f>J61*Geometry!$J$2</f>
        <v>0</v>
      </c>
      <c r="L61" s="15">
        <f t="shared" si="8"/>
        <v>0</v>
      </c>
      <c r="M61" s="54">
        <f>K61*(Vehicle!$H$22*0.75)</f>
        <v>0</v>
      </c>
      <c r="N61" s="54">
        <f>L61*IF(MOD(E61,$C$5)&lt;1,Vehicle!$H$21,0)</f>
        <v>0</v>
      </c>
      <c r="O61" s="54">
        <f>L61*(Vehicle!$H$23)</f>
        <v>0</v>
      </c>
      <c r="P61" s="54">
        <f>L61*IF(MOD(E61,$C$5)&lt;1,Vehicle!$H$24,0)</f>
        <v>0</v>
      </c>
      <c r="Q61" s="54">
        <f>L61*(Vehicle!$H$25)</f>
        <v>0</v>
      </c>
      <c r="R61" s="54">
        <f>L61*(Vehicle!$H$26)</f>
        <v>0</v>
      </c>
      <c r="S61" s="54">
        <f>L61*IF(MOD(E61,$C$5)&lt;1,Vehicle!$H$27,0)</f>
        <v>0</v>
      </c>
      <c r="T61" s="54"/>
      <c r="U61" s="54">
        <f t="shared" si="47"/>
        <v>0</v>
      </c>
    </row>
    <row r="62" spans="1:21">
      <c r="A62" s="7">
        <f t="shared" si="4"/>
        <v>54</v>
      </c>
      <c r="B62" s="54">
        <f t="shared" si="41"/>
        <v>-20</v>
      </c>
      <c r="C62" s="7">
        <v>1</v>
      </c>
      <c r="D62" s="63">
        <f>D61+LOOKUP(C62,Geometry!$J$29:$K$35)</f>
        <v>520</v>
      </c>
      <c r="E62" s="63">
        <f t="shared" si="42"/>
        <v>-20</v>
      </c>
      <c r="F62" s="12">
        <f>Geometry!$D$12*D62</f>
        <v>10.192000000000002</v>
      </c>
      <c r="G62" s="4">
        <f t="shared" si="43"/>
        <v>0</v>
      </c>
      <c r="H62" s="4">
        <f t="shared" si="44"/>
        <v>0</v>
      </c>
      <c r="I62" s="15">
        <f t="shared" si="45"/>
        <v>0</v>
      </c>
      <c r="J62" s="15">
        <f t="shared" si="46"/>
        <v>0</v>
      </c>
      <c r="K62" s="15">
        <f>J62*Geometry!$J$2</f>
        <v>0</v>
      </c>
      <c r="L62" s="15">
        <f t="shared" si="8"/>
        <v>0</v>
      </c>
      <c r="M62" s="54">
        <f>K62*(Vehicle!$H$22*0.75)</f>
        <v>0</v>
      </c>
      <c r="N62" s="54">
        <f>L62*IF(MOD(E62,$C$5)&lt;1,Vehicle!$H$21,0)</f>
        <v>0</v>
      </c>
      <c r="O62" s="54">
        <f>L62*(Vehicle!$H$23)</f>
        <v>0</v>
      </c>
      <c r="P62" s="54">
        <f>L62*IF(MOD(E62,$C$5)&lt;1,Vehicle!$H$24,0)</f>
        <v>0</v>
      </c>
      <c r="Q62" s="54">
        <f>L62*(Vehicle!$H$25)</f>
        <v>0</v>
      </c>
      <c r="R62" s="54">
        <f>L62*(Vehicle!$H$26)</f>
        <v>0</v>
      </c>
      <c r="S62" s="54">
        <f>L62*IF(MOD(E62,$C$5)&lt;1,Vehicle!$H$27,0)</f>
        <v>0</v>
      </c>
      <c r="T62" s="54"/>
      <c r="U62" s="54">
        <f t="shared" si="47"/>
        <v>0</v>
      </c>
    </row>
    <row r="63" spans="1:21">
      <c r="A63" s="7">
        <f t="shared" si="4"/>
        <v>55</v>
      </c>
      <c r="B63" s="54">
        <f t="shared" si="41"/>
        <v>-25</v>
      </c>
      <c r="C63" s="7">
        <v>1</v>
      </c>
      <c r="D63" s="63">
        <f>D62+LOOKUP(C63,Geometry!$J$29:$K$35)</f>
        <v>525</v>
      </c>
      <c r="E63" s="63">
        <f t="shared" si="42"/>
        <v>-25</v>
      </c>
      <c r="F63" s="12">
        <f>Geometry!$D$12*D63</f>
        <v>10.290000000000001</v>
      </c>
      <c r="G63" s="4">
        <f t="shared" si="43"/>
        <v>0</v>
      </c>
      <c r="H63" s="4">
        <f t="shared" si="44"/>
        <v>0</v>
      </c>
      <c r="I63" s="15">
        <f t="shared" si="45"/>
        <v>0</v>
      </c>
      <c r="J63" s="15">
        <f t="shared" si="46"/>
        <v>0</v>
      </c>
      <c r="K63" s="15">
        <f>J63*Geometry!$J$2</f>
        <v>0</v>
      </c>
      <c r="L63" s="15">
        <f t="shared" si="8"/>
        <v>0</v>
      </c>
      <c r="M63" s="54">
        <f>K63*(Vehicle!$H$22*0.75)</f>
        <v>0</v>
      </c>
      <c r="N63" s="54">
        <f>L63*IF(MOD(E63,$C$5)&lt;1,Vehicle!$H$21,0)</f>
        <v>0</v>
      </c>
      <c r="O63" s="54">
        <f>L63*(Vehicle!$H$23)</f>
        <v>0</v>
      </c>
      <c r="P63" s="54">
        <f>L63*IF(MOD(E63,$C$5)&lt;1,Vehicle!$H$24,0)</f>
        <v>0</v>
      </c>
      <c r="Q63" s="54">
        <f>L63*(Vehicle!$H$25)</f>
        <v>0</v>
      </c>
      <c r="R63" s="54">
        <f>L63*(Vehicle!$H$26)</f>
        <v>0</v>
      </c>
      <c r="S63" s="54">
        <f>L63*IF(MOD(E63,$C$5)&lt;1,Vehicle!$H$27,0)</f>
        <v>0</v>
      </c>
      <c r="T63" s="54"/>
      <c r="U63" s="54">
        <f t="shared" si="47"/>
        <v>0</v>
      </c>
    </row>
    <row r="64" spans="1:21">
      <c r="A64" s="7">
        <f t="shared" si="4"/>
        <v>56</v>
      </c>
      <c r="B64" s="54">
        <f t="shared" si="41"/>
        <v>-30</v>
      </c>
      <c r="C64" s="7">
        <v>1</v>
      </c>
      <c r="D64" s="63">
        <f>D63+LOOKUP(C64,Geometry!$J$29:$K$35)</f>
        <v>530</v>
      </c>
      <c r="E64" s="63">
        <f t="shared" si="42"/>
        <v>-30</v>
      </c>
      <c r="F64" s="12">
        <f>Geometry!$D$12*D64</f>
        <v>10.388000000000002</v>
      </c>
      <c r="G64" s="4">
        <f t="shared" si="43"/>
        <v>0</v>
      </c>
      <c r="H64" s="4">
        <f t="shared" si="44"/>
        <v>0</v>
      </c>
      <c r="I64" s="15">
        <f t="shared" si="45"/>
        <v>0</v>
      </c>
      <c r="J64" s="15">
        <f t="shared" si="46"/>
        <v>0</v>
      </c>
      <c r="K64" s="15">
        <f>J64*Geometry!$J$2</f>
        <v>0</v>
      </c>
      <c r="L64" s="15">
        <f t="shared" si="8"/>
        <v>0</v>
      </c>
      <c r="M64" s="54">
        <f>K64*(Vehicle!$H$22*0.75)</f>
        <v>0</v>
      </c>
      <c r="N64" s="54">
        <f>L64*IF(MOD(E64,$C$5)&lt;1,Vehicle!$H$21,0)</f>
        <v>0</v>
      </c>
      <c r="O64" s="54">
        <f>L64*(Vehicle!$H$23)</f>
        <v>0</v>
      </c>
      <c r="P64" s="54">
        <f>L64*IF(MOD(E64,$C$5)&lt;1,Vehicle!$H$24,0)</f>
        <v>0</v>
      </c>
      <c r="Q64" s="54">
        <f>L64*(Vehicle!$H$25)</f>
        <v>0</v>
      </c>
      <c r="R64" s="54">
        <f>L64*(Vehicle!$H$26)</f>
        <v>0</v>
      </c>
      <c r="S64" s="54">
        <f>L64*IF(MOD(E64,$C$5)&lt;1,Vehicle!$H$27,0)</f>
        <v>0</v>
      </c>
      <c r="T64" s="54"/>
      <c r="U64" s="54">
        <f t="shared" si="47"/>
        <v>0</v>
      </c>
    </row>
    <row r="65" spans="1:21">
      <c r="A65" s="7">
        <f t="shared" si="4"/>
        <v>57</v>
      </c>
      <c r="B65" s="54">
        <f t="shared" si="41"/>
        <v>-35</v>
      </c>
      <c r="C65" s="7">
        <v>1</v>
      </c>
      <c r="D65" s="63">
        <f>D64+LOOKUP(C65,Geometry!$J$29:$K$35)</f>
        <v>535</v>
      </c>
      <c r="E65" s="63">
        <f t="shared" si="42"/>
        <v>-35</v>
      </c>
      <c r="F65" s="12">
        <f>Geometry!$D$12*D65</f>
        <v>10.486000000000001</v>
      </c>
      <c r="G65" s="4">
        <f t="shared" si="43"/>
        <v>0</v>
      </c>
      <c r="H65" s="4">
        <f t="shared" si="44"/>
        <v>0</v>
      </c>
      <c r="I65" s="15">
        <f t="shared" si="45"/>
        <v>0</v>
      </c>
      <c r="J65" s="15">
        <f t="shared" si="46"/>
        <v>0</v>
      </c>
      <c r="K65" s="15">
        <f>J65*Geometry!$J$2</f>
        <v>0</v>
      </c>
      <c r="L65" s="15">
        <f t="shared" si="8"/>
        <v>0</v>
      </c>
      <c r="M65" s="54">
        <f>K65*(Vehicle!$H$22*0.75)</f>
        <v>0</v>
      </c>
      <c r="N65" s="54">
        <f>L65*IF(MOD(E65,$C$5)&lt;1,Vehicle!$H$21,0)</f>
        <v>0</v>
      </c>
      <c r="O65" s="54">
        <f>L65*(Vehicle!$H$23)</f>
        <v>0</v>
      </c>
      <c r="P65" s="54">
        <f>L65*IF(MOD(E65,$C$5)&lt;1,Vehicle!$H$24,0)</f>
        <v>0</v>
      </c>
      <c r="Q65" s="54">
        <f>L65*(Vehicle!$H$25)</f>
        <v>0</v>
      </c>
      <c r="R65" s="54">
        <f>L65*(Vehicle!$H$26)</f>
        <v>0</v>
      </c>
      <c r="S65" s="54">
        <f>L65*IF(MOD(E65,$C$5)&lt;1,Vehicle!$H$27,0)</f>
        <v>0</v>
      </c>
      <c r="T65" s="54"/>
      <c r="U65" s="54">
        <f t="shared" si="47"/>
        <v>0</v>
      </c>
    </row>
    <row r="66" spans="1:21">
      <c r="A66" s="7">
        <f t="shared" si="4"/>
        <v>58</v>
      </c>
      <c r="B66" s="54">
        <f t="shared" si="41"/>
        <v>-40</v>
      </c>
      <c r="C66" s="7">
        <v>1</v>
      </c>
      <c r="D66" s="63">
        <f>D65+LOOKUP(C66,Geometry!$J$29:$K$35)</f>
        <v>540</v>
      </c>
      <c r="E66" s="63">
        <f t="shared" si="42"/>
        <v>-40</v>
      </c>
      <c r="F66" s="12">
        <f>Geometry!$D$12*D66</f>
        <v>10.584000000000001</v>
      </c>
      <c r="G66" s="4">
        <f t="shared" si="43"/>
        <v>0</v>
      </c>
      <c r="H66" s="4">
        <f t="shared" si="44"/>
        <v>0</v>
      </c>
      <c r="I66" s="15">
        <f t="shared" si="45"/>
        <v>0</v>
      </c>
      <c r="J66" s="15">
        <f t="shared" si="46"/>
        <v>0</v>
      </c>
      <c r="K66" s="15">
        <f>J66*Geometry!$J$2</f>
        <v>0</v>
      </c>
      <c r="L66" s="15">
        <f t="shared" si="8"/>
        <v>0</v>
      </c>
      <c r="M66" s="54">
        <f>K66*(Vehicle!$H$22*0.75)</f>
        <v>0</v>
      </c>
      <c r="N66" s="54">
        <f>L66*IF(MOD(E66,$C$5)&lt;1,Vehicle!$H$21,0)</f>
        <v>0</v>
      </c>
      <c r="O66" s="54">
        <f>L66*(Vehicle!$H$23)</f>
        <v>0</v>
      </c>
      <c r="P66" s="54">
        <f>L66*IF(MOD(E66,$C$5)&lt;1,Vehicle!$H$24,0)</f>
        <v>0</v>
      </c>
      <c r="Q66" s="54">
        <f>L66*(Vehicle!$H$25)</f>
        <v>0</v>
      </c>
      <c r="R66" s="54">
        <f>L66*(Vehicle!$H$26)</f>
        <v>0</v>
      </c>
      <c r="S66" s="54">
        <f>L66*IF(MOD(E66,$C$5)&lt;1,Vehicle!$H$27,0)</f>
        <v>0</v>
      </c>
      <c r="T66" s="54"/>
      <c r="U66" s="54">
        <f t="shared" si="47"/>
        <v>0</v>
      </c>
    </row>
    <row r="67" spans="1:21">
      <c r="A67" s="7">
        <f t="shared" si="4"/>
        <v>59</v>
      </c>
      <c r="B67" s="54">
        <f t="shared" si="41"/>
        <v>-45</v>
      </c>
      <c r="C67" s="7">
        <v>1</v>
      </c>
      <c r="D67" s="63">
        <f>D66+LOOKUP(C67,Geometry!$J$29:$K$35)</f>
        <v>545</v>
      </c>
      <c r="E67" s="63">
        <f t="shared" si="42"/>
        <v>-45</v>
      </c>
      <c r="F67" s="12">
        <f>Geometry!$D$12*D67</f>
        <v>10.682000000000002</v>
      </c>
      <c r="G67" s="4">
        <f t="shared" si="43"/>
        <v>0</v>
      </c>
      <c r="H67" s="4">
        <f t="shared" si="44"/>
        <v>0</v>
      </c>
      <c r="I67" s="15">
        <f t="shared" si="45"/>
        <v>0</v>
      </c>
      <c r="J67" s="15">
        <f t="shared" si="46"/>
        <v>0</v>
      </c>
      <c r="K67" s="15">
        <f>J67*Geometry!$J$2</f>
        <v>0</v>
      </c>
      <c r="L67" s="15">
        <f t="shared" si="8"/>
        <v>0</v>
      </c>
      <c r="M67" s="54">
        <f>K67*(Vehicle!$H$22*0.75)</f>
        <v>0</v>
      </c>
      <c r="N67" s="54">
        <f>L67*IF(MOD(E67,$C$5)&lt;1,Vehicle!$H$21,0)</f>
        <v>0</v>
      </c>
      <c r="O67" s="54">
        <f>L67*(Vehicle!$H$23)</f>
        <v>0</v>
      </c>
      <c r="P67" s="54">
        <f>L67*IF(MOD(E67,$C$5)&lt;1,Vehicle!$H$24,0)</f>
        <v>0</v>
      </c>
      <c r="Q67" s="54">
        <f>L67*(Vehicle!$H$25)</f>
        <v>0</v>
      </c>
      <c r="R67" s="54">
        <f>L67*(Vehicle!$H$26)</f>
        <v>0</v>
      </c>
      <c r="S67" s="54">
        <f>L67*IF(MOD(E67,$C$5)&lt;1,Vehicle!$H$27,0)</f>
        <v>0</v>
      </c>
      <c r="T67" s="54"/>
      <c r="U67" s="54">
        <f t="shared" si="47"/>
        <v>0</v>
      </c>
    </row>
    <row r="68" spans="1:21">
      <c r="A68" s="7">
        <f t="shared" si="4"/>
        <v>60</v>
      </c>
      <c r="B68" s="54">
        <f t="shared" ref="B68:B77" si="48">B67-(D68-D67)</f>
        <v>-50</v>
      </c>
      <c r="C68" s="7">
        <v>1</v>
      </c>
      <c r="D68" s="63">
        <f>D67+LOOKUP(C68,Geometry!$J$29:$K$35)</f>
        <v>550</v>
      </c>
      <c r="E68" s="63">
        <f t="shared" ref="E68:E77" si="49">E67-(D68-D67)</f>
        <v>-50</v>
      </c>
      <c r="F68" s="12">
        <f>Geometry!$D$12*D68</f>
        <v>10.780000000000001</v>
      </c>
      <c r="G68" s="4">
        <f t="shared" ref="G68:G77" si="50">IF(H68&gt;0,F68/9.8,0)</f>
        <v>0</v>
      </c>
      <c r="H68" s="4">
        <f t="shared" ref="H68:H77" si="51">IF(D68&lt;=$F$5,1,0)</f>
        <v>0</v>
      </c>
      <c r="I68" s="15">
        <f t="shared" ref="I68:I77" si="52">IF(D68&lt;=$F$5,D68*2*PI()*$C$2*H68,0)</f>
        <v>0</v>
      </c>
      <c r="J68" s="15">
        <f t="shared" ref="J68:J77" si="53">FLOOR(I68/$J$1,1)</f>
        <v>0</v>
      </c>
      <c r="K68" s="15">
        <f>J68*Geometry!$J$2</f>
        <v>0</v>
      </c>
      <c r="L68" s="15">
        <f t="shared" si="8"/>
        <v>0</v>
      </c>
      <c r="M68" s="54">
        <f>K68*(Vehicle!$H$22*0.75)</f>
        <v>0</v>
      </c>
      <c r="N68" s="54">
        <f>L68*IF(MOD(E68,$C$5)&lt;1,Vehicle!$H$21,0)</f>
        <v>0</v>
      </c>
      <c r="O68" s="54">
        <f>L68*(Vehicle!$H$23)</f>
        <v>0</v>
      </c>
      <c r="P68" s="54">
        <f>L68*IF(MOD(E68,$C$5)&lt;1,Vehicle!$H$24,0)</f>
        <v>0</v>
      </c>
      <c r="Q68" s="54">
        <f>L68*(Vehicle!$H$25)</f>
        <v>0</v>
      </c>
      <c r="R68" s="54">
        <f>L68*(Vehicle!$H$26)</f>
        <v>0</v>
      </c>
      <c r="S68" s="54">
        <f>L68*IF(MOD(E68,$C$5)&lt;1,Vehicle!$H$27,0)</f>
        <v>0</v>
      </c>
      <c r="T68" s="54"/>
      <c r="U68" s="54">
        <f t="shared" ref="U68:U77" si="54">(K68-SUM(M68:S68))*0.25</f>
        <v>0</v>
      </c>
    </row>
    <row r="69" spans="1:21">
      <c r="A69" s="7">
        <f t="shared" si="4"/>
        <v>61</v>
      </c>
      <c r="B69" s="54">
        <f t="shared" si="48"/>
        <v>-55</v>
      </c>
      <c r="C69" s="7">
        <v>1</v>
      </c>
      <c r="D69" s="63">
        <f>D68+LOOKUP(C69,Geometry!$J$29:$K$35)</f>
        <v>555</v>
      </c>
      <c r="E69" s="63">
        <f t="shared" si="49"/>
        <v>-55</v>
      </c>
      <c r="F69" s="12">
        <f>Geometry!$D$12*D69</f>
        <v>10.878000000000002</v>
      </c>
      <c r="G69" s="4">
        <f t="shared" si="50"/>
        <v>0</v>
      </c>
      <c r="H69" s="4">
        <f t="shared" si="51"/>
        <v>0</v>
      </c>
      <c r="I69" s="15">
        <f t="shared" si="52"/>
        <v>0</v>
      </c>
      <c r="J69" s="15">
        <f t="shared" si="53"/>
        <v>0</v>
      </c>
      <c r="K69" s="15">
        <f>J69*Geometry!$J$2</f>
        <v>0</v>
      </c>
      <c r="L69" s="15">
        <f t="shared" si="8"/>
        <v>0</v>
      </c>
      <c r="M69" s="54">
        <f>K69*(Vehicle!$H$22*0.75)</f>
        <v>0</v>
      </c>
      <c r="N69" s="54">
        <f>L69*IF(MOD(E69,$C$5)&lt;1,Vehicle!$H$22,0)</f>
        <v>0</v>
      </c>
      <c r="O69" s="54">
        <f>L69*(Vehicle!$H$23)</f>
        <v>0</v>
      </c>
      <c r="P69" s="54">
        <f>L69*IF(MOD(E69,$C$5)&lt;1,Vehicle!$H$24,0)</f>
        <v>0</v>
      </c>
      <c r="Q69" s="54">
        <f>L69*(Vehicle!$H$25)</f>
        <v>0</v>
      </c>
      <c r="R69" s="54">
        <f>L69*(Vehicle!$H$26)</f>
        <v>0</v>
      </c>
      <c r="S69" s="54">
        <f>L69*IF(MOD(E69,$C$5)&lt;1,Vehicle!$H$27,0)</f>
        <v>0</v>
      </c>
      <c r="T69" s="54"/>
      <c r="U69" s="54">
        <f t="shared" si="54"/>
        <v>0</v>
      </c>
    </row>
    <row r="70" spans="1:21">
      <c r="A70" s="7">
        <f t="shared" si="4"/>
        <v>62</v>
      </c>
      <c r="B70" s="54">
        <f t="shared" si="48"/>
        <v>-60</v>
      </c>
      <c r="C70" s="7">
        <v>1</v>
      </c>
      <c r="D70" s="63">
        <f>D69+LOOKUP(C70,Geometry!$J$29:$K$35)</f>
        <v>560</v>
      </c>
      <c r="E70" s="63">
        <f t="shared" si="49"/>
        <v>-60</v>
      </c>
      <c r="F70" s="12">
        <f>Geometry!$D$12*D70</f>
        <v>10.976000000000001</v>
      </c>
      <c r="G70" s="4">
        <f t="shared" si="50"/>
        <v>0</v>
      </c>
      <c r="H70" s="4">
        <f t="shared" si="51"/>
        <v>0</v>
      </c>
      <c r="I70" s="15">
        <f t="shared" si="52"/>
        <v>0</v>
      </c>
      <c r="J70" s="15">
        <f t="shared" si="53"/>
        <v>0</v>
      </c>
      <c r="K70" s="15">
        <f>J70*Geometry!$J$2</f>
        <v>0</v>
      </c>
      <c r="L70" s="15">
        <f t="shared" si="8"/>
        <v>0</v>
      </c>
      <c r="M70" s="54">
        <f>K70*(Vehicle!$H$22*0.75)</f>
        <v>0</v>
      </c>
      <c r="N70" s="54">
        <f>L70*IF(MOD(E70,$C$5)&lt;1,Vehicle!$H$22,0)</f>
        <v>0</v>
      </c>
      <c r="O70" s="54">
        <f>L70*(Vehicle!$H$23)</f>
        <v>0</v>
      </c>
      <c r="P70" s="54">
        <f>L70*IF(MOD(E70,$C$5)&lt;1,Vehicle!$H$24,0)</f>
        <v>0</v>
      </c>
      <c r="Q70" s="54">
        <f>L70*(Vehicle!$H$25)</f>
        <v>0</v>
      </c>
      <c r="R70" s="54">
        <f>L70*(Vehicle!$H$26)</f>
        <v>0</v>
      </c>
      <c r="S70" s="54">
        <f>L70*IF(MOD(E70,$C$5)&lt;1,Vehicle!$H$27,0)</f>
        <v>0</v>
      </c>
      <c r="T70" s="54"/>
      <c r="U70" s="54">
        <f t="shared" si="54"/>
        <v>0</v>
      </c>
    </row>
    <row r="71" spans="1:21">
      <c r="A71" s="7">
        <f t="shared" si="4"/>
        <v>63</v>
      </c>
      <c r="B71" s="54">
        <f t="shared" si="48"/>
        <v>-65</v>
      </c>
      <c r="C71" s="7">
        <v>1</v>
      </c>
      <c r="D71" s="63">
        <f>D70+LOOKUP(C71,Geometry!$J$29:$K$35)</f>
        <v>565</v>
      </c>
      <c r="E71" s="63">
        <f t="shared" si="49"/>
        <v>-65</v>
      </c>
      <c r="F71" s="12">
        <f>Geometry!$D$12*D71</f>
        <v>11.074000000000002</v>
      </c>
      <c r="G71" s="4">
        <f t="shared" si="50"/>
        <v>0</v>
      </c>
      <c r="H71" s="4">
        <f t="shared" si="51"/>
        <v>0</v>
      </c>
      <c r="I71" s="15">
        <f t="shared" si="52"/>
        <v>0</v>
      </c>
      <c r="J71" s="15">
        <f t="shared" si="53"/>
        <v>0</v>
      </c>
      <c r="K71" s="15">
        <f>J71*Geometry!$J$2</f>
        <v>0</v>
      </c>
      <c r="L71" s="15">
        <f t="shared" si="8"/>
        <v>0</v>
      </c>
      <c r="M71" s="54">
        <f>K71*(Vehicle!$H$22*0.75)</f>
        <v>0</v>
      </c>
      <c r="N71" s="54">
        <f>L71*IF(MOD(E71,$C$5)&lt;1,Vehicle!$H$22,0)</f>
        <v>0</v>
      </c>
      <c r="O71" s="54">
        <f>L71*(Vehicle!$H$23)</f>
        <v>0</v>
      </c>
      <c r="P71" s="54">
        <f>L71*IF(MOD(E71,$C$5)&lt;1,Vehicle!$H$24,0)</f>
        <v>0</v>
      </c>
      <c r="Q71" s="54">
        <f>L71*(Vehicle!$H$25)</f>
        <v>0</v>
      </c>
      <c r="R71" s="54">
        <f>L71*(Vehicle!$H$26)</f>
        <v>0</v>
      </c>
      <c r="S71" s="54">
        <f>L71*IF(MOD(E71,$C$5)&lt;1,Vehicle!$H$27,0)</f>
        <v>0</v>
      </c>
      <c r="T71" s="54"/>
      <c r="U71" s="54">
        <f t="shared" si="54"/>
        <v>0</v>
      </c>
    </row>
    <row r="72" spans="1:21">
      <c r="A72" s="7">
        <f t="shared" si="4"/>
        <v>64</v>
      </c>
      <c r="B72" s="54">
        <f t="shared" si="48"/>
        <v>-70</v>
      </c>
      <c r="C72" s="7">
        <v>1</v>
      </c>
      <c r="D72" s="63">
        <f>D71+LOOKUP(C72,Geometry!$J$29:$K$35)</f>
        <v>570</v>
      </c>
      <c r="E72" s="63">
        <f t="shared" si="49"/>
        <v>-70</v>
      </c>
      <c r="F72" s="12">
        <f>Geometry!$D$12*D72</f>
        <v>11.172000000000002</v>
      </c>
      <c r="G72" s="4">
        <f t="shared" si="50"/>
        <v>0</v>
      </c>
      <c r="H72" s="4">
        <f t="shared" si="51"/>
        <v>0</v>
      </c>
      <c r="I72" s="15">
        <f t="shared" si="52"/>
        <v>0</v>
      </c>
      <c r="J72" s="15">
        <f t="shared" si="53"/>
        <v>0</v>
      </c>
      <c r="K72" s="15">
        <f>J72*Geometry!$J$2</f>
        <v>0</v>
      </c>
      <c r="L72" s="15">
        <f t="shared" si="8"/>
        <v>0</v>
      </c>
      <c r="M72" s="54">
        <f>K72*(Vehicle!$H$22*0.75)</f>
        <v>0</v>
      </c>
      <c r="N72" s="54">
        <f>L72*IF(MOD(E72,$C$5)&lt;1,Vehicle!$H$22,0)</f>
        <v>0</v>
      </c>
      <c r="O72" s="54">
        <f>L72*(Vehicle!$H$23)</f>
        <v>0</v>
      </c>
      <c r="P72" s="54">
        <f>L72*IF(MOD(E72,$C$5)&lt;1,Vehicle!$H$24,0)</f>
        <v>0</v>
      </c>
      <c r="Q72" s="54">
        <f>L72*(Vehicle!$H$25)</f>
        <v>0</v>
      </c>
      <c r="R72" s="54">
        <f>L72*(Vehicle!$H$26)</f>
        <v>0</v>
      </c>
      <c r="S72" s="54">
        <f>L72*IF(MOD(E72,$C$5)&lt;1,Vehicle!$H$27,0)</f>
        <v>0</v>
      </c>
      <c r="T72" s="54"/>
      <c r="U72" s="54">
        <f t="shared" si="54"/>
        <v>0</v>
      </c>
    </row>
    <row r="73" spans="1:21">
      <c r="A73" s="7">
        <f t="shared" si="4"/>
        <v>65</v>
      </c>
      <c r="B73" s="54">
        <f t="shared" si="48"/>
        <v>-75</v>
      </c>
      <c r="C73" s="7">
        <v>1</v>
      </c>
      <c r="D73" s="63">
        <f>D72+LOOKUP(C73,Geometry!$J$29:$K$35)</f>
        <v>575</v>
      </c>
      <c r="E73" s="63">
        <f t="shared" si="49"/>
        <v>-75</v>
      </c>
      <c r="F73" s="12">
        <f>Geometry!$D$12*D73</f>
        <v>11.270000000000001</v>
      </c>
      <c r="G73" s="4">
        <f t="shared" si="50"/>
        <v>0</v>
      </c>
      <c r="H73" s="4">
        <f t="shared" si="51"/>
        <v>0</v>
      </c>
      <c r="I73" s="15">
        <f t="shared" si="52"/>
        <v>0</v>
      </c>
      <c r="J73" s="15">
        <f t="shared" si="53"/>
        <v>0</v>
      </c>
      <c r="K73" s="15">
        <f>J73*Geometry!$J$2</f>
        <v>0</v>
      </c>
      <c r="L73" s="15">
        <f t="shared" si="8"/>
        <v>0</v>
      </c>
      <c r="M73" s="54">
        <f>K73*(Vehicle!$H$22*0.75)</f>
        <v>0</v>
      </c>
      <c r="N73" s="54">
        <f>L73*IF(MOD(E73,$C$5)&lt;1,Vehicle!$H$22,0)</f>
        <v>0</v>
      </c>
      <c r="O73" s="54">
        <f>L73*(Vehicle!$H$23)</f>
        <v>0</v>
      </c>
      <c r="P73" s="54">
        <f>L73*IF(MOD(E73,$C$5)&lt;1,Vehicle!$H$24,0)</f>
        <v>0</v>
      </c>
      <c r="Q73" s="54">
        <f>L73*(Vehicle!$H$25)</f>
        <v>0</v>
      </c>
      <c r="R73" s="54">
        <f>L73*(Vehicle!$H$26)</f>
        <v>0</v>
      </c>
      <c r="S73" s="54">
        <f>L73*IF(MOD(E73,$C$5)&lt;1,Vehicle!$H$27,0)</f>
        <v>0</v>
      </c>
      <c r="T73" s="54"/>
      <c r="U73" s="54">
        <f t="shared" si="54"/>
        <v>0</v>
      </c>
    </row>
    <row r="74" spans="1:21">
      <c r="A74" s="7">
        <f t="shared" ref="A74:A137" si="55">A73+1</f>
        <v>66</v>
      </c>
      <c r="B74" s="54">
        <f t="shared" si="48"/>
        <v>-80</v>
      </c>
      <c r="C74" s="7">
        <v>1</v>
      </c>
      <c r="D74" s="63">
        <f>D73+LOOKUP(C74,Geometry!$J$29:$K$35)</f>
        <v>580</v>
      </c>
      <c r="E74" s="63">
        <f t="shared" si="49"/>
        <v>-80</v>
      </c>
      <c r="F74" s="12">
        <f>Geometry!$D$12*D74</f>
        <v>11.368000000000002</v>
      </c>
      <c r="G74" s="4">
        <f t="shared" si="50"/>
        <v>0</v>
      </c>
      <c r="H74" s="4">
        <f t="shared" si="51"/>
        <v>0</v>
      </c>
      <c r="I74" s="15">
        <f t="shared" si="52"/>
        <v>0</v>
      </c>
      <c r="J74" s="15">
        <f t="shared" si="53"/>
        <v>0</v>
      </c>
      <c r="K74" s="15">
        <f>J74*Geometry!$J$2</f>
        <v>0</v>
      </c>
      <c r="L74" s="15"/>
      <c r="M74" s="54">
        <f>K74*(Vehicle!$H$22*0.75)</f>
        <v>0</v>
      </c>
      <c r="N74" s="54">
        <f>L74*IF(MOD(E74,$C$5)&lt;1,Vehicle!$H$22,0)</f>
        <v>0</v>
      </c>
      <c r="O74" s="54">
        <f>L74*(Vehicle!$H$23)</f>
        <v>0</v>
      </c>
      <c r="P74" s="54">
        <f>L74*IF(MOD(E74,$C$5)&lt;1,Vehicle!$H$24,0)</f>
        <v>0</v>
      </c>
      <c r="Q74" s="54">
        <f>L74*(Vehicle!$H$25)</f>
        <v>0</v>
      </c>
      <c r="R74" s="54">
        <f>L74*(Vehicle!$H$26)</f>
        <v>0</v>
      </c>
      <c r="S74" s="54">
        <f>L74*IF(MOD(E74,$C$5)&lt;1,Vehicle!$H$27,0)</f>
        <v>0</v>
      </c>
      <c r="T74" s="54"/>
      <c r="U74" s="54">
        <f t="shared" si="54"/>
        <v>0</v>
      </c>
    </row>
    <row r="75" spans="1:21">
      <c r="A75" s="7">
        <f t="shared" si="55"/>
        <v>67</v>
      </c>
      <c r="B75" s="54">
        <f t="shared" si="48"/>
        <v>-85</v>
      </c>
      <c r="C75" s="7">
        <v>1</v>
      </c>
      <c r="D75" s="63">
        <f>D74+LOOKUP(C75,Geometry!$J$29:$K$35)</f>
        <v>585</v>
      </c>
      <c r="E75" s="63">
        <f t="shared" si="49"/>
        <v>-85</v>
      </c>
      <c r="F75" s="12">
        <f>Geometry!$D$12*D75</f>
        <v>11.466000000000001</v>
      </c>
      <c r="G75" s="4">
        <f t="shared" si="50"/>
        <v>0</v>
      </c>
      <c r="H75" s="4">
        <f t="shared" si="51"/>
        <v>0</v>
      </c>
      <c r="I75" s="15">
        <f t="shared" si="52"/>
        <v>0</v>
      </c>
      <c r="J75" s="15">
        <f t="shared" si="53"/>
        <v>0</v>
      </c>
      <c r="K75" s="15">
        <f>J75*Geometry!$J$2</f>
        <v>0</v>
      </c>
      <c r="L75" s="15"/>
      <c r="M75" s="54">
        <f>K75*(Vehicle!$H$22*0.75)</f>
        <v>0</v>
      </c>
      <c r="N75" s="54">
        <f>L75*IF(MOD(E75,$C$5)&lt;1,Vehicle!$H$22,0)</f>
        <v>0</v>
      </c>
      <c r="O75" s="54">
        <f>L75*(Vehicle!$H$23)</f>
        <v>0</v>
      </c>
      <c r="P75" s="54">
        <f>L75*IF(MOD(E75,$C$5)&lt;1,Vehicle!$H$24,0)</f>
        <v>0</v>
      </c>
      <c r="Q75" s="54">
        <f>L75*(Vehicle!$H$25)</f>
        <v>0</v>
      </c>
      <c r="R75" s="54">
        <f>L75*(Vehicle!$H$26)</f>
        <v>0</v>
      </c>
      <c r="S75" s="54">
        <f>L75*IF(MOD(E75,$C$5)&lt;1,Vehicle!$H$27,0)</f>
        <v>0</v>
      </c>
      <c r="T75" s="54"/>
      <c r="U75" s="54">
        <f t="shared" si="54"/>
        <v>0</v>
      </c>
    </row>
    <row r="76" spans="1:21">
      <c r="A76" s="7">
        <f t="shared" si="55"/>
        <v>68</v>
      </c>
      <c r="B76" s="54">
        <f t="shared" si="48"/>
        <v>-90</v>
      </c>
      <c r="C76" s="7">
        <v>1</v>
      </c>
      <c r="D76" s="63">
        <f>D75+LOOKUP(C76,Geometry!$J$29:$K$35)</f>
        <v>590</v>
      </c>
      <c r="E76" s="63">
        <f t="shared" si="49"/>
        <v>-90</v>
      </c>
      <c r="F76" s="12">
        <f>Geometry!$D$12*D76</f>
        <v>11.564000000000002</v>
      </c>
      <c r="G76" s="4">
        <f t="shared" si="50"/>
        <v>0</v>
      </c>
      <c r="H76" s="4">
        <f t="shared" si="51"/>
        <v>0</v>
      </c>
      <c r="I76" s="15">
        <f t="shared" si="52"/>
        <v>0</v>
      </c>
      <c r="J76" s="15">
        <f t="shared" si="53"/>
        <v>0</v>
      </c>
      <c r="K76" s="15">
        <f>J76*Geometry!$J$2</f>
        <v>0</v>
      </c>
      <c r="L76" s="15"/>
      <c r="M76" s="54">
        <f>K76*(Vehicle!$H$22*0.75)</f>
        <v>0</v>
      </c>
      <c r="N76" s="54">
        <f>L76*IF(MOD(E76,$C$5)&lt;1,Vehicle!$H$22,0)</f>
        <v>0</v>
      </c>
      <c r="O76" s="54">
        <f>L76*(Vehicle!$H$23)</f>
        <v>0</v>
      </c>
      <c r="P76" s="54">
        <f>L76*IF(MOD(E76,$C$5)&lt;1,Vehicle!$H$24,0)</f>
        <v>0</v>
      </c>
      <c r="Q76" s="54">
        <f>L76*(Vehicle!$H$25)</f>
        <v>0</v>
      </c>
      <c r="R76" s="54">
        <f>L76*(Vehicle!$H$26)</f>
        <v>0</v>
      </c>
      <c r="S76" s="54">
        <f>L76*IF(MOD(E76,$C$5)&lt;1,Vehicle!$H$27,0)</f>
        <v>0</v>
      </c>
      <c r="T76" s="54"/>
      <c r="U76" s="54">
        <f t="shared" si="54"/>
        <v>0</v>
      </c>
    </row>
    <row r="77" spans="1:21">
      <c r="A77" s="7">
        <f t="shared" si="55"/>
        <v>69</v>
      </c>
      <c r="B77" s="54">
        <f t="shared" si="48"/>
        <v>-95</v>
      </c>
      <c r="C77" s="7">
        <v>1</v>
      </c>
      <c r="D77" s="63">
        <f>D76+LOOKUP(C77,Geometry!$J$29:$K$35)</f>
        <v>595</v>
      </c>
      <c r="E77" s="63">
        <f t="shared" si="49"/>
        <v>-95</v>
      </c>
      <c r="F77" s="12">
        <f>Geometry!$D$12*D77</f>
        <v>11.662000000000001</v>
      </c>
      <c r="G77" s="4">
        <f t="shared" si="50"/>
        <v>0</v>
      </c>
      <c r="H77" s="4">
        <f t="shared" si="51"/>
        <v>0</v>
      </c>
      <c r="I77" s="15">
        <f t="shared" si="52"/>
        <v>0</v>
      </c>
      <c r="J77" s="15">
        <f t="shared" si="53"/>
        <v>0</v>
      </c>
      <c r="K77" s="15">
        <f>J77*Geometry!$J$2</f>
        <v>0</v>
      </c>
      <c r="L77" s="15"/>
      <c r="M77" s="54">
        <f>K77*(Vehicle!$H$22*0.75)</f>
        <v>0</v>
      </c>
      <c r="N77" s="54">
        <f>L77*IF(MOD(E77,$C$5)&lt;1,Vehicle!$H$22,0)</f>
        <v>0</v>
      </c>
      <c r="O77" s="54">
        <f>L77*(Vehicle!$H$23)</f>
        <v>0</v>
      </c>
      <c r="P77" s="54">
        <f>L77*IF(MOD(E77,$C$5)&lt;1,Vehicle!$H$24,0)</f>
        <v>0</v>
      </c>
      <c r="Q77" s="54">
        <f>L77*(Vehicle!$H$25)</f>
        <v>0</v>
      </c>
      <c r="R77" s="54">
        <f>L77*(Vehicle!$H$26)</f>
        <v>0</v>
      </c>
      <c r="S77" s="54">
        <f>L77*IF(MOD(E77,$C$5)&lt;1,Vehicle!$H$27,0)</f>
        <v>0</v>
      </c>
      <c r="T77" s="54"/>
      <c r="U77" s="54">
        <f t="shared" si="54"/>
        <v>0</v>
      </c>
    </row>
    <row r="78" spans="1:21">
      <c r="A78" s="7">
        <f t="shared" si="55"/>
        <v>70</v>
      </c>
      <c r="B78" s="54">
        <f t="shared" ref="B78:B88" si="56">B77-(D78-D77)</f>
        <v>-100</v>
      </c>
      <c r="C78" s="7">
        <v>1</v>
      </c>
      <c r="D78" s="63">
        <f>D77+LOOKUP(C78,Geometry!$J$29:$K$35)</f>
        <v>600</v>
      </c>
      <c r="E78" s="63">
        <f t="shared" ref="E78:E88" si="57">E77-(D78-D77)</f>
        <v>-100</v>
      </c>
      <c r="F78" s="12">
        <f>Geometry!$D$12*D78</f>
        <v>11.760000000000002</v>
      </c>
      <c r="G78" s="4">
        <f t="shared" ref="G78:G88" si="58">IF(H78&gt;0,F78/9.8,0)</f>
        <v>0</v>
      </c>
      <c r="H78" s="4">
        <f t="shared" ref="H78:H88" si="59">IF(D78&lt;=$F$5,1,0)</f>
        <v>0</v>
      </c>
      <c r="I78" s="15">
        <f t="shared" ref="I78:I88" si="60">IF(D78&lt;=$F$5,D78*2*PI()*$C$2*H78,0)</f>
        <v>0</v>
      </c>
      <c r="J78" s="15">
        <f t="shared" ref="J78:J88" si="61">FLOOR(I78/$J$1,1)</f>
        <v>0</v>
      </c>
      <c r="K78" s="15">
        <f>J78*Geometry!$J$2</f>
        <v>0</v>
      </c>
      <c r="L78" s="15"/>
      <c r="M78" s="54">
        <f>K78*(Vehicle!$H$22*0.75)</f>
        <v>0</v>
      </c>
      <c r="N78" s="54">
        <f>K78*(Vehicle!$H$22*0.25)</f>
        <v>0</v>
      </c>
      <c r="O78" s="54">
        <f>K78*(Vehicle!$H$23)</f>
        <v>0</v>
      </c>
      <c r="P78" s="54">
        <f>K78*(Vehicle!$H$24)</f>
        <v>0</v>
      </c>
      <c r="Q78" s="54">
        <f>K78*(Vehicle!$H$25)</f>
        <v>0</v>
      </c>
      <c r="R78" s="54"/>
      <c r="S78" s="54">
        <f>K78*(Vehicle!$H$26)</f>
        <v>0</v>
      </c>
      <c r="T78" s="54"/>
      <c r="U78" s="54">
        <f t="shared" ref="U78:U88" si="62">(K78-SUM(M78:S78))*0.25</f>
        <v>0</v>
      </c>
    </row>
    <row r="79" spans="1:21">
      <c r="A79" s="7">
        <f t="shared" si="55"/>
        <v>71</v>
      </c>
      <c r="B79" s="54">
        <f t="shared" si="56"/>
        <v>-105</v>
      </c>
      <c r="C79" s="7">
        <v>1</v>
      </c>
      <c r="D79" s="63">
        <f>D78+LOOKUP(C79,Geometry!$J$29:$K$35)</f>
        <v>605</v>
      </c>
      <c r="E79" s="63">
        <f t="shared" si="57"/>
        <v>-105</v>
      </c>
      <c r="F79" s="12">
        <f>Geometry!$D$12*D79</f>
        <v>11.858000000000002</v>
      </c>
      <c r="G79" s="4">
        <f t="shared" si="58"/>
        <v>0</v>
      </c>
      <c r="H79" s="4">
        <f t="shared" si="59"/>
        <v>0</v>
      </c>
      <c r="I79" s="15">
        <f t="shared" si="60"/>
        <v>0</v>
      </c>
      <c r="J79" s="15">
        <f t="shared" si="61"/>
        <v>0</v>
      </c>
      <c r="K79" s="15">
        <f>J79*Geometry!$J$2</f>
        <v>0</v>
      </c>
      <c r="L79" s="15"/>
      <c r="M79" s="54">
        <f>K79*(Vehicle!$H$22*0.75)</f>
        <v>0</v>
      </c>
      <c r="N79" s="54">
        <f>K79*(Vehicle!$H$22*0.25)</f>
        <v>0</v>
      </c>
      <c r="O79" s="54">
        <f>K79*(Vehicle!$H$23)</f>
        <v>0</v>
      </c>
      <c r="P79" s="54">
        <f>K79*(Vehicle!$H$24)</f>
        <v>0</v>
      </c>
      <c r="Q79" s="54">
        <f>K79*(Vehicle!$H$25)</f>
        <v>0</v>
      </c>
      <c r="R79" s="54"/>
      <c r="S79" s="54">
        <f>K79*(Vehicle!$H$26)</f>
        <v>0</v>
      </c>
      <c r="T79" s="54"/>
      <c r="U79" s="54">
        <f t="shared" si="62"/>
        <v>0</v>
      </c>
    </row>
    <row r="80" spans="1:21">
      <c r="A80" s="7">
        <f t="shared" si="55"/>
        <v>72</v>
      </c>
      <c r="B80" s="54">
        <f t="shared" si="56"/>
        <v>-110</v>
      </c>
      <c r="C80" s="7">
        <v>1</v>
      </c>
      <c r="D80" s="63">
        <f>D79+LOOKUP(C80,Geometry!$J$29:$K$35)</f>
        <v>610</v>
      </c>
      <c r="E80" s="63">
        <f t="shared" si="57"/>
        <v>-110</v>
      </c>
      <c r="F80" s="12">
        <f>Geometry!$D$12*D80</f>
        <v>11.956000000000001</v>
      </c>
      <c r="G80" s="4">
        <f t="shared" si="58"/>
        <v>0</v>
      </c>
      <c r="H80" s="4">
        <f t="shared" si="59"/>
        <v>0</v>
      </c>
      <c r="I80" s="15">
        <f t="shared" si="60"/>
        <v>0</v>
      </c>
      <c r="J80" s="15">
        <f t="shared" si="61"/>
        <v>0</v>
      </c>
      <c r="K80" s="15">
        <f>J80*Geometry!$J$2</f>
        <v>0</v>
      </c>
      <c r="L80" s="15"/>
      <c r="M80" s="54">
        <f>K80*(Vehicle!$H$22*0.75)</f>
        <v>0</v>
      </c>
      <c r="N80" s="54">
        <f>K80*(Vehicle!$H$22*0.25)</f>
        <v>0</v>
      </c>
      <c r="O80" s="54">
        <f>K80*(Vehicle!$H$23)</f>
        <v>0</v>
      </c>
      <c r="P80" s="54">
        <f>K80*(Vehicle!$H$24)</f>
        <v>0</v>
      </c>
      <c r="Q80" s="54">
        <f>K80*(Vehicle!$H$25)</f>
        <v>0</v>
      </c>
      <c r="R80" s="54"/>
      <c r="S80" s="54">
        <f>K80*(Vehicle!$H$26)</f>
        <v>0</v>
      </c>
      <c r="T80" s="54"/>
      <c r="U80" s="54">
        <f t="shared" si="62"/>
        <v>0</v>
      </c>
    </row>
    <row r="81" spans="1:21">
      <c r="A81" s="7">
        <f t="shared" si="55"/>
        <v>73</v>
      </c>
      <c r="B81" s="54">
        <f t="shared" si="56"/>
        <v>-115</v>
      </c>
      <c r="C81" s="7">
        <v>1</v>
      </c>
      <c r="D81" s="63">
        <f>D80+LOOKUP(C81,Geometry!$J$29:$K$35)</f>
        <v>615</v>
      </c>
      <c r="E81" s="63">
        <f t="shared" si="57"/>
        <v>-115</v>
      </c>
      <c r="F81" s="12">
        <f>Geometry!$D$12*D81</f>
        <v>12.054000000000002</v>
      </c>
      <c r="G81" s="4">
        <f t="shared" si="58"/>
        <v>0</v>
      </c>
      <c r="H81" s="4">
        <f t="shared" si="59"/>
        <v>0</v>
      </c>
      <c r="I81" s="15">
        <f t="shared" si="60"/>
        <v>0</v>
      </c>
      <c r="J81" s="15">
        <f t="shared" si="61"/>
        <v>0</v>
      </c>
      <c r="K81" s="15">
        <f>J81*Geometry!$J$2</f>
        <v>0</v>
      </c>
      <c r="L81" s="15"/>
      <c r="M81" s="54">
        <f>K81*(Vehicle!$H$22*0.75)</f>
        <v>0</v>
      </c>
      <c r="N81" s="54">
        <f>K81*(Vehicle!$H$22*0.25)</f>
        <v>0</v>
      </c>
      <c r="O81" s="54">
        <f>K81*(Vehicle!$H$23)</f>
        <v>0</v>
      </c>
      <c r="P81" s="54">
        <f>K81*(Vehicle!$H$24)</f>
        <v>0</v>
      </c>
      <c r="Q81" s="54">
        <f>K81*(Vehicle!$H$25)</f>
        <v>0</v>
      </c>
      <c r="R81" s="54"/>
      <c r="S81" s="54">
        <f>K81*(Vehicle!$H$26)</f>
        <v>0</v>
      </c>
      <c r="T81" s="54"/>
      <c r="U81" s="54">
        <f t="shared" si="62"/>
        <v>0</v>
      </c>
    </row>
    <row r="82" spans="1:21">
      <c r="A82" s="7">
        <f t="shared" si="55"/>
        <v>74</v>
      </c>
      <c r="B82" s="54">
        <f t="shared" si="56"/>
        <v>-120</v>
      </c>
      <c r="C82" s="7">
        <v>1</v>
      </c>
      <c r="D82" s="63">
        <f>D81+LOOKUP(C82,Geometry!$J$29:$K$35)</f>
        <v>620</v>
      </c>
      <c r="E82" s="63">
        <f t="shared" si="57"/>
        <v>-120</v>
      </c>
      <c r="F82" s="12">
        <f>Geometry!$D$12*D82</f>
        <v>12.152000000000001</v>
      </c>
      <c r="G82" s="4">
        <f t="shared" si="58"/>
        <v>0</v>
      </c>
      <c r="H82" s="4">
        <f t="shared" si="59"/>
        <v>0</v>
      </c>
      <c r="I82" s="15">
        <f t="shared" si="60"/>
        <v>0</v>
      </c>
      <c r="J82" s="15">
        <f t="shared" si="61"/>
        <v>0</v>
      </c>
      <c r="K82" s="15">
        <f>J82*Geometry!$J$2</f>
        <v>0</v>
      </c>
      <c r="L82" s="15"/>
      <c r="M82" s="54">
        <f>K82*(Vehicle!$H$22*0.75)</f>
        <v>0</v>
      </c>
      <c r="N82" s="54">
        <f>K82*(Vehicle!$H$22*0.25)</f>
        <v>0</v>
      </c>
      <c r="O82" s="54">
        <f>K82*(Vehicle!$H$23)</f>
        <v>0</v>
      </c>
      <c r="P82" s="54">
        <f>K82*(Vehicle!$H$24)</f>
        <v>0</v>
      </c>
      <c r="Q82" s="54">
        <f>K82*(Vehicle!$H$25)</f>
        <v>0</v>
      </c>
      <c r="R82" s="54"/>
      <c r="S82" s="54">
        <f>K82*(Vehicle!$H$26)</f>
        <v>0</v>
      </c>
      <c r="T82" s="54"/>
      <c r="U82" s="54">
        <f t="shared" si="62"/>
        <v>0</v>
      </c>
    </row>
    <row r="83" spans="1:21">
      <c r="A83" s="7">
        <f t="shared" si="55"/>
        <v>75</v>
      </c>
      <c r="B83" s="54">
        <f t="shared" si="56"/>
        <v>-125</v>
      </c>
      <c r="C83" s="7">
        <v>1</v>
      </c>
      <c r="D83" s="63">
        <f>D82+LOOKUP(C83,Geometry!$J$29:$K$35)</f>
        <v>625</v>
      </c>
      <c r="E83" s="63">
        <f t="shared" si="57"/>
        <v>-125</v>
      </c>
      <c r="F83" s="12">
        <f>Geometry!$D$12*D83</f>
        <v>12.250000000000002</v>
      </c>
      <c r="G83" s="4">
        <f t="shared" si="58"/>
        <v>0</v>
      </c>
      <c r="H83" s="4">
        <f t="shared" si="59"/>
        <v>0</v>
      </c>
      <c r="I83" s="15">
        <f t="shared" si="60"/>
        <v>0</v>
      </c>
      <c r="J83" s="15">
        <f t="shared" si="61"/>
        <v>0</v>
      </c>
      <c r="K83" s="15">
        <f>J83*Geometry!$J$2</f>
        <v>0</v>
      </c>
      <c r="L83" s="15"/>
      <c r="M83" s="54">
        <f>K83*(Vehicle!$H$22*0.75)</f>
        <v>0</v>
      </c>
      <c r="N83" s="54">
        <f>K83*(Vehicle!$H$22*0.25)</f>
        <v>0</v>
      </c>
      <c r="O83" s="54">
        <f>K83*(Vehicle!$H$23)</f>
        <v>0</v>
      </c>
      <c r="P83" s="54">
        <f>K83*(Vehicle!$H$24)</f>
        <v>0</v>
      </c>
      <c r="Q83" s="54">
        <f>K83*(Vehicle!$H$25)</f>
        <v>0</v>
      </c>
      <c r="R83" s="54"/>
      <c r="S83" s="54">
        <f>K83*(Vehicle!$H$26)</f>
        <v>0</v>
      </c>
      <c r="T83" s="54"/>
      <c r="U83" s="54">
        <f t="shared" si="62"/>
        <v>0</v>
      </c>
    </row>
    <row r="84" spans="1:21">
      <c r="A84" s="7">
        <f t="shared" si="55"/>
        <v>76</v>
      </c>
      <c r="B84" s="54">
        <f t="shared" si="56"/>
        <v>-130</v>
      </c>
      <c r="C84" s="7">
        <v>1</v>
      </c>
      <c r="D84" s="63">
        <f>D83+LOOKUP(C84,Geometry!$J$29:$K$35)</f>
        <v>630</v>
      </c>
      <c r="E84" s="63">
        <f t="shared" si="57"/>
        <v>-130</v>
      </c>
      <c r="F84" s="12">
        <f>Geometry!$D$12*D84</f>
        <v>12.348000000000003</v>
      </c>
      <c r="G84" s="4">
        <f t="shared" si="58"/>
        <v>0</v>
      </c>
      <c r="H84" s="4">
        <f t="shared" si="59"/>
        <v>0</v>
      </c>
      <c r="I84" s="15">
        <f t="shared" si="60"/>
        <v>0</v>
      </c>
      <c r="J84" s="15">
        <f t="shared" si="61"/>
        <v>0</v>
      </c>
      <c r="K84" s="15">
        <f>J84*Geometry!$J$2</f>
        <v>0</v>
      </c>
      <c r="L84" s="15"/>
      <c r="M84" s="54">
        <f>K84*(Vehicle!$H$22*0.75)</f>
        <v>0</v>
      </c>
      <c r="N84" s="54">
        <f>K84*(Vehicle!$H$22*0.25)</f>
        <v>0</v>
      </c>
      <c r="O84" s="54">
        <f>K84*(Vehicle!$H$23)</f>
        <v>0</v>
      </c>
      <c r="P84" s="54">
        <f>K84*(Vehicle!$H$24)</f>
        <v>0</v>
      </c>
      <c r="Q84" s="54">
        <f>K84*(Vehicle!$H$25)</f>
        <v>0</v>
      </c>
      <c r="R84" s="54"/>
      <c r="S84" s="54">
        <f>K84*(Vehicle!$H$26)</f>
        <v>0</v>
      </c>
      <c r="T84" s="54"/>
      <c r="U84" s="54">
        <f t="shared" si="62"/>
        <v>0</v>
      </c>
    </row>
    <row r="85" spans="1:21">
      <c r="A85" s="7">
        <f t="shared" si="55"/>
        <v>77</v>
      </c>
      <c r="B85" s="54">
        <f t="shared" si="56"/>
        <v>-135</v>
      </c>
      <c r="C85" s="7">
        <v>1</v>
      </c>
      <c r="D85" s="63">
        <f>D84+LOOKUP(C85,Geometry!$J$29:$K$35)</f>
        <v>635</v>
      </c>
      <c r="E85" s="63">
        <f t="shared" si="57"/>
        <v>-135</v>
      </c>
      <c r="F85" s="12">
        <f>Geometry!$D$12*D85</f>
        <v>12.446000000000002</v>
      </c>
      <c r="G85" s="4">
        <f t="shared" si="58"/>
        <v>0</v>
      </c>
      <c r="H85" s="4">
        <f t="shared" si="59"/>
        <v>0</v>
      </c>
      <c r="I85" s="15">
        <f t="shared" si="60"/>
        <v>0</v>
      </c>
      <c r="J85" s="15">
        <f t="shared" si="61"/>
        <v>0</v>
      </c>
      <c r="K85" s="15">
        <f>J85*Geometry!$J$2</f>
        <v>0</v>
      </c>
      <c r="L85" s="15"/>
      <c r="M85" s="54">
        <f>K85*(Vehicle!$H$22*0.75)</f>
        <v>0</v>
      </c>
      <c r="N85" s="54">
        <f>K85*(Vehicle!$H$22*0.25)</f>
        <v>0</v>
      </c>
      <c r="O85" s="54">
        <f>K85*(Vehicle!$H$23)</f>
        <v>0</v>
      </c>
      <c r="P85" s="54">
        <f>K85*(Vehicle!$H$24)</f>
        <v>0</v>
      </c>
      <c r="Q85" s="54">
        <f>K85*(Vehicle!$H$25)</f>
        <v>0</v>
      </c>
      <c r="R85" s="54"/>
      <c r="S85" s="54">
        <f>K85*(Vehicle!$H$26)</f>
        <v>0</v>
      </c>
      <c r="T85" s="54"/>
      <c r="U85" s="54">
        <f t="shared" si="62"/>
        <v>0</v>
      </c>
    </row>
    <row r="86" spans="1:21">
      <c r="A86" s="7">
        <f t="shared" si="55"/>
        <v>78</v>
      </c>
      <c r="B86" s="54">
        <f t="shared" si="56"/>
        <v>-140</v>
      </c>
      <c r="C86" s="7">
        <v>1</v>
      </c>
      <c r="D86" s="63">
        <f>D85+LOOKUP(C86,Geometry!$J$29:$K$35)</f>
        <v>640</v>
      </c>
      <c r="E86" s="63">
        <f t="shared" si="57"/>
        <v>-140</v>
      </c>
      <c r="F86" s="12">
        <f>Geometry!$D$12*D86</f>
        <v>12.544000000000002</v>
      </c>
      <c r="G86" s="4">
        <f t="shared" si="58"/>
        <v>0</v>
      </c>
      <c r="H86" s="4">
        <f t="shared" si="59"/>
        <v>0</v>
      </c>
      <c r="I86" s="15">
        <f t="shared" si="60"/>
        <v>0</v>
      </c>
      <c r="J86" s="15">
        <f t="shared" si="61"/>
        <v>0</v>
      </c>
      <c r="K86" s="15">
        <f>J86*Geometry!$J$2</f>
        <v>0</v>
      </c>
      <c r="L86" s="15"/>
      <c r="M86" s="54">
        <f>K86*(Vehicle!$H$22*0.75)</f>
        <v>0</v>
      </c>
      <c r="N86" s="54">
        <f>K86*(Vehicle!$H$22*0.25)</f>
        <v>0</v>
      </c>
      <c r="O86" s="54">
        <f>K86*(Vehicle!$H$23)</f>
        <v>0</v>
      </c>
      <c r="P86" s="54">
        <f>K86*(Vehicle!$H$24)</f>
        <v>0</v>
      </c>
      <c r="Q86" s="54">
        <f>K86*(Vehicle!$H$25)</f>
        <v>0</v>
      </c>
      <c r="R86" s="54"/>
      <c r="S86" s="54">
        <f>K86*(Vehicle!$H$26)</f>
        <v>0</v>
      </c>
      <c r="T86" s="54"/>
      <c r="U86" s="54">
        <f t="shared" si="62"/>
        <v>0</v>
      </c>
    </row>
    <row r="87" spans="1:21">
      <c r="A87" s="7">
        <f t="shared" si="55"/>
        <v>79</v>
      </c>
      <c r="B87" s="54">
        <f t="shared" si="56"/>
        <v>-145</v>
      </c>
      <c r="C87" s="7">
        <v>1</v>
      </c>
      <c r="D87" s="63">
        <f>D86+LOOKUP(C87,Geometry!$J$29:$K$35)</f>
        <v>645</v>
      </c>
      <c r="E87" s="63">
        <f t="shared" si="57"/>
        <v>-145</v>
      </c>
      <c r="F87" s="12">
        <f>Geometry!$D$12*D87</f>
        <v>12.642000000000001</v>
      </c>
      <c r="G87" s="4">
        <f t="shared" si="58"/>
        <v>0</v>
      </c>
      <c r="H87" s="4">
        <f t="shared" si="59"/>
        <v>0</v>
      </c>
      <c r="I87" s="15">
        <f t="shared" si="60"/>
        <v>0</v>
      </c>
      <c r="J87" s="15">
        <f t="shared" si="61"/>
        <v>0</v>
      </c>
      <c r="K87" s="15">
        <f>J87*Geometry!$J$2</f>
        <v>0</v>
      </c>
      <c r="L87" s="15"/>
      <c r="M87" s="54">
        <f>K87*(Vehicle!$H$22*0.75)</f>
        <v>0</v>
      </c>
      <c r="N87" s="54">
        <f>K87*(Vehicle!$H$22*0.25)</f>
        <v>0</v>
      </c>
      <c r="O87" s="54">
        <f>K87*(Vehicle!$H$23)</f>
        <v>0</v>
      </c>
      <c r="P87" s="54">
        <f>K87*(Vehicle!$H$24)</f>
        <v>0</v>
      </c>
      <c r="Q87" s="54">
        <f>K87*(Vehicle!$H$25)</f>
        <v>0</v>
      </c>
      <c r="R87" s="54"/>
      <c r="S87" s="54">
        <f>K87*(Vehicle!$H$26)</f>
        <v>0</v>
      </c>
      <c r="T87" s="54"/>
      <c r="U87" s="54">
        <f t="shared" si="62"/>
        <v>0</v>
      </c>
    </row>
    <row r="88" spans="1:21">
      <c r="A88" s="7">
        <f t="shared" si="55"/>
        <v>80</v>
      </c>
      <c r="B88" s="54">
        <f t="shared" si="56"/>
        <v>-150</v>
      </c>
      <c r="C88" s="7">
        <v>1</v>
      </c>
      <c r="D88" s="63">
        <f>D87+LOOKUP(C88,Geometry!$J$29:$K$35)</f>
        <v>650</v>
      </c>
      <c r="E88" s="63">
        <f t="shared" si="57"/>
        <v>-150</v>
      </c>
      <c r="F88" s="12">
        <f>Geometry!$D$12*D88</f>
        <v>12.740000000000002</v>
      </c>
      <c r="G88" s="4">
        <f t="shared" si="58"/>
        <v>0</v>
      </c>
      <c r="H88" s="4">
        <f t="shared" si="59"/>
        <v>0</v>
      </c>
      <c r="I88" s="15">
        <f t="shared" si="60"/>
        <v>0</v>
      </c>
      <c r="J88" s="15">
        <f t="shared" si="61"/>
        <v>0</v>
      </c>
      <c r="K88" s="15">
        <f>J88*Geometry!$J$2</f>
        <v>0</v>
      </c>
      <c r="L88" s="15"/>
      <c r="M88" s="54">
        <f>K88*(Vehicle!$H$22*0.75)</f>
        <v>0</v>
      </c>
      <c r="N88" s="54">
        <f>K88*(Vehicle!$H$22*0.25)</f>
        <v>0</v>
      </c>
      <c r="O88" s="54">
        <f>K88*(Vehicle!$H$23)</f>
        <v>0</v>
      </c>
      <c r="P88" s="54">
        <f>K88*(Vehicle!$H$24)</f>
        <v>0</v>
      </c>
      <c r="Q88" s="54">
        <f>K88*(Vehicle!$H$25)</f>
        <v>0</v>
      </c>
      <c r="R88" s="54"/>
      <c r="S88" s="54">
        <f>K88*(Vehicle!$H$26)</f>
        <v>0</v>
      </c>
      <c r="T88" s="54"/>
      <c r="U88" s="54">
        <f t="shared" si="62"/>
        <v>0</v>
      </c>
    </row>
    <row r="89" spans="1:21">
      <c r="A89" s="7">
        <f t="shared" si="55"/>
        <v>81</v>
      </c>
      <c r="B89" s="54">
        <f t="shared" ref="B89:B99" si="63">B88-(D89-D88)</f>
        <v>-155</v>
      </c>
      <c r="C89" s="7">
        <v>1</v>
      </c>
      <c r="D89" s="63">
        <f>D88+LOOKUP(C89,Geometry!$J$29:$K$35)</f>
        <v>655</v>
      </c>
      <c r="E89" s="63">
        <f t="shared" ref="E89:E99" si="64">E88-(D89-D88)</f>
        <v>-155</v>
      </c>
      <c r="F89" s="12">
        <f>Geometry!$D$12*D89</f>
        <v>12.838000000000003</v>
      </c>
      <c r="G89" s="4">
        <f t="shared" ref="G89:G99" si="65">IF(H89&gt;0,F89/9.8,0)</f>
        <v>0</v>
      </c>
      <c r="H89" s="4">
        <f t="shared" ref="H89:H99" si="66">IF(D89&lt;=$F$5,1,0)</f>
        <v>0</v>
      </c>
      <c r="I89" s="15">
        <f t="shared" ref="I89:I99" si="67">IF(D89&lt;=$F$5,D89*2*PI()*$C$2*H89,0)</f>
        <v>0</v>
      </c>
      <c r="J89" s="15">
        <f t="shared" ref="J89:J99" si="68">FLOOR(I89/$J$1,1)</f>
        <v>0</v>
      </c>
      <c r="K89" s="15">
        <f>J89*Geometry!$J$2</f>
        <v>0</v>
      </c>
      <c r="L89" s="15"/>
      <c r="M89" s="54">
        <f>K89*(Vehicle!$H$22*0.75)</f>
        <v>0</v>
      </c>
      <c r="N89" s="54">
        <f>K89*(Vehicle!$H$22*0.25)</f>
        <v>0</v>
      </c>
      <c r="O89" s="54">
        <f>K89*(Vehicle!$H$23)</f>
        <v>0</v>
      </c>
      <c r="P89" s="54">
        <f>K89*(Vehicle!$H$24)</f>
        <v>0</v>
      </c>
      <c r="Q89" s="54">
        <f>K89*(Vehicle!$H$25)</f>
        <v>0</v>
      </c>
      <c r="R89" s="54"/>
      <c r="S89" s="54">
        <f>K89*(Vehicle!$H$26)</f>
        <v>0</v>
      </c>
      <c r="T89" s="54"/>
      <c r="U89" s="54">
        <f t="shared" ref="U89:U99" si="69">(K89-SUM(M89:S89))*0.25</f>
        <v>0</v>
      </c>
    </row>
    <row r="90" spans="1:21">
      <c r="A90" s="7">
        <f t="shared" si="55"/>
        <v>82</v>
      </c>
      <c r="B90" s="54">
        <f t="shared" si="63"/>
        <v>-160</v>
      </c>
      <c r="C90" s="7">
        <v>1</v>
      </c>
      <c r="D90" s="63">
        <f>D89+LOOKUP(C90,Geometry!$J$29:$K$35)</f>
        <v>660</v>
      </c>
      <c r="E90" s="63">
        <f t="shared" si="64"/>
        <v>-160</v>
      </c>
      <c r="F90" s="12">
        <f>Geometry!$D$12*D90</f>
        <v>12.936000000000002</v>
      </c>
      <c r="G90" s="4">
        <f t="shared" si="65"/>
        <v>0</v>
      </c>
      <c r="H90" s="4">
        <f t="shared" si="66"/>
        <v>0</v>
      </c>
      <c r="I90" s="15">
        <f t="shared" si="67"/>
        <v>0</v>
      </c>
      <c r="J90" s="15">
        <f t="shared" si="68"/>
        <v>0</v>
      </c>
      <c r="K90" s="15">
        <f>J90*Geometry!$J$2</f>
        <v>0</v>
      </c>
      <c r="L90" s="15"/>
      <c r="M90" s="54">
        <f>K90*(Vehicle!$H$22*0.75)</f>
        <v>0</v>
      </c>
      <c r="N90" s="54">
        <f>K90*(Vehicle!$H$22*0.25)</f>
        <v>0</v>
      </c>
      <c r="O90" s="54">
        <f>K90*(Vehicle!$H$23)</f>
        <v>0</v>
      </c>
      <c r="P90" s="54">
        <f>K90*(Vehicle!$H$24)</f>
        <v>0</v>
      </c>
      <c r="Q90" s="54">
        <f>K90*(Vehicle!$H$25)</f>
        <v>0</v>
      </c>
      <c r="R90" s="54"/>
      <c r="S90" s="54">
        <f>K90*(Vehicle!$H$26)</f>
        <v>0</v>
      </c>
      <c r="T90" s="54"/>
      <c r="U90" s="54">
        <f t="shared" si="69"/>
        <v>0</v>
      </c>
    </row>
    <row r="91" spans="1:21">
      <c r="A91" s="7">
        <f t="shared" si="55"/>
        <v>83</v>
      </c>
      <c r="B91" s="54">
        <f t="shared" si="63"/>
        <v>-165</v>
      </c>
      <c r="C91" s="7">
        <v>1</v>
      </c>
      <c r="D91" s="63">
        <f>D90+LOOKUP(C91,Geometry!$J$29:$K$35)</f>
        <v>665</v>
      </c>
      <c r="E91" s="63">
        <f t="shared" si="64"/>
        <v>-165</v>
      </c>
      <c r="F91" s="12">
        <f>Geometry!$D$12*D91</f>
        <v>13.034000000000002</v>
      </c>
      <c r="G91" s="4">
        <f t="shared" si="65"/>
        <v>0</v>
      </c>
      <c r="H91" s="4">
        <f t="shared" si="66"/>
        <v>0</v>
      </c>
      <c r="I91" s="15">
        <f t="shared" si="67"/>
        <v>0</v>
      </c>
      <c r="J91" s="15">
        <f t="shared" si="68"/>
        <v>0</v>
      </c>
      <c r="K91" s="15">
        <f>J91*Geometry!$J$2</f>
        <v>0</v>
      </c>
      <c r="L91" s="15"/>
      <c r="M91" s="54">
        <f>K91*(Vehicle!$H$22*0.75)</f>
        <v>0</v>
      </c>
      <c r="N91" s="54">
        <f>K91*(Vehicle!$H$22*0.25)</f>
        <v>0</v>
      </c>
      <c r="O91" s="54">
        <f>K91*(Vehicle!$H$23)</f>
        <v>0</v>
      </c>
      <c r="P91" s="54">
        <f>K91*(Vehicle!$H$24)</f>
        <v>0</v>
      </c>
      <c r="Q91" s="54">
        <f>K91*(Vehicle!$H$25)</f>
        <v>0</v>
      </c>
      <c r="R91" s="54"/>
      <c r="S91" s="54">
        <f>K91*(Vehicle!$H$26)</f>
        <v>0</v>
      </c>
      <c r="T91" s="54"/>
      <c r="U91" s="54">
        <f t="shared" si="69"/>
        <v>0</v>
      </c>
    </row>
    <row r="92" spans="1:21">
      <c r="A92" s="7">
        <f t="shared" si="55"/>
        <v>84</v>
      </c>
      <c r="B92" s="54">
        <f t="shared" si="63"/>
        <v>-170</v>
      </c>
      <c r="C92" s="7">
        <v>1</v>
      </c>
      <c r="D92" s="63">
        <f>D91+LOOKUP(C92,Geometry!$J$29:$K$35)</f>
        <v>670</v>
      </c>
      <c r="E92" s="63">
        <f t="shared" si="64"/>
        <v>-170</v>
      </c>
      <c r="F92" s="12">
        <f>Geometry!$D$12*D92</f>
        <v>13.132000000000001</v>
      </c>
      <c r="G92" s="4">
        <f t="shared" si="65"/>
        <v>0</v>
      </c>
      <c r="H92" s="4">
        <f t="shared" si="66"/>
        <v>0</v>
      </c>
      <c r="I92" s="15">
        <f t="shared" si="67"/>
        <v>0</v>
      </c>
      <c r="J92" s="15">
        <f t="shared" si="68"/>
        <v>0</v>
      </c>
      <c r="K92" s="15">
        <f>J92*Geometry!$J$2</f>
        <v>0</v>
      </c>
      <c r="L92" s="15"/>
      <c r="M92" s="54">
        <f>K92*(Vehicle!$H$22*0.75)</f>
        <v>0</v>
      </c>
      <c r="N92" s="54">
        <f>K92*(Vehicle!$H$22*0.25)</f>
        <v>0</v>
      </c>
      <c r="O92" s="54">
        <f>K92*(Vehicle!$H$23)</f>
        <v>0</v>
      </c>
      <c r="P92" s="54">
        <f>K92*(Vehicle!$H$24)</f>
        <v>0</v>
      </c>
      <c r="Q92" s="54">
        <f>K92*(Vehicle!$H$25)</f>
        <v>0</v>
      </c>
      <c r="R92" s="54"/>
      <c r="S92" s="54">
        <f>K92*(Vehicle!$H$26)</f>
        <v>0</v>
      </c>
      <c r="T92" s="54"/>
      <c r="U92" s="54">
        <f t="shared" si="69"/>
        <v>0</v>
      </c>
    </row>
    <row r="93" spans="1:21">
      <c r="A93" s="7">
        <f t="shared" si="55"/>
        <v>85</v>
      </c>
      <c r="B93" s="54">
        <f t="shared" si="63"/>
        <v>-175</v>
      </c>
      <c r="C93" s="7">
        <v>1</v>
      </c>
      <c r="D93" s="63">
        <f>D92+LOOKUP(C93,Geometry!$J$29:$K$35)</f>
        <v>675</v>
      </c>
      <c r="E93" s="63">
        <f t="shared" si="64"/>
        <v>-175</v>
      </c>
      <c r="F93" s="12">
        <f>Geometry!$D$12*D93</f>
        <v>13.230000000000002</v>
      </c>
      <c r="G93" s="4">
        <f t="shared" si="65"/>
        <v>0</v>
      </c>
      <c r="H93" s="4">
        <f t="shared" si="66"/>
        <v>0</v>
      </c>
      <c r="I93" s="15">
        <f t="shared" si="67"/>
        <v>0</v>
      </c>
      <c r="J93" s="15">
        <f t="shared" si="68"/>
        <v>0</v>
      </c>
      <c r="K93" s="15">
        <f>J93*Geometry!$J$2</f>
        <v>0</v>
      </c>
      <c r="L93" s="15"/>
      <c r="M93" s="54">
        <f>K93*(Vehicle!$H$22*0.75)</f>
        <v>0</v>
      </c>
      <c r="N93" s="54">
        <f>K93*(Vehicle!$H$22*0.25)</f>
        <v>0</v>
      </c>
      <c r="O93" s="54">
        <f>K93*(Vehicle!$H$23)</f>
        <v>0</v>
      </c>
      <c r="P93" s="54">
        <f>K93*(Vehicle!$H$24)</f>
        <v>0</v>
      </c>
      <c r="Q93" s="54">
        <f>K93*(Vehicle!$H$25)</f>
        <v>0</v>
      </c>
      <c r="R93" s="54"/>
      <c r="S93" s="54">
        <f>K93*(Vehicle!$H$26)</f>
        <v>0</v>
      </c>
      <c r="T93" s="54"/>
      <c r="U93" s="54">
        <f t="shared" si="69"/>
        <v>0</v>
      </c>
    </row>
    <row r="94" spans="1:21">
      <c r="A94" s="7">
        <f t="shared" si="55"/>
        <v>86</v>
      </c>
      <c r="B94" s="54">
        <f t="shared" si="63"/>
        <v>-180</v>
      </c>
      <c r="C94" s="7">
        <v>1</v>
      </c>
      <c r="D94" s="63">
        <f>D93+LOOKUP(C94,Geometry!$J$29:$K$35)</f>
        <v>680</v>
      </c>
      <c r="E94" s="63">
        <f t="shared" si="64"/>
        <v>-180</v>
      </c>
      <c r="F94" s="12">
        <f>Geometry!$D$12*D94</f>
        <v>13.328000000000001</v>
      </c>
      <c r="G94" s="4">
        <f t="shared" si="65"/>
        <v>0</v>
      </c>
      <c r="H94" s="4">
        <f t="shared" si="66"/>
        <v>0</v>
      </c>
      <c r="I94" s="15">
        <f t="shared" si="67"/>
        <v>0</v>
      </c>
      <c r="J94" s="15">
        <f t="shared" si="68"/>
        <v>0</v>
      </c>
      <c r="K94" s="15">
        <f>J94*Geometry!$J$2</f>
        <v>0</v>
      </c>
      <c r="L94" s="15"/>
      <c r="M94" s="54">
        <f>K94*(Vehicle!$H$22*0.75)</f>
        <v>0</v>
      </c>
      <c r="N94" s="54">
        <f>K94*(Vehicle!$H$22*0.25)</f>
        <v>0</v>
      </c>
      <c r="O94" s="54">
        <f>K94*(Vehicle!$H$23)</f>
        <v>0</v>
      </c>
      <c r="P94" s="54">
        <f>K94*(Vehicle!$H$24)</f>
        <v>0</v>
      </c>
      <c r="Q94" s="54">
        <f>K94*(Vehicle!$H$25)</f>
        <v>0</v>
      </c>
      <c r="R94" s="54"/>
      <c r="S94" s="54">
        <f>K94*(Vehicle!$H$26)</f>
        <v>0</v>
      </c>
      <c r="T94" s="54"/>
      <c r="U94" s="54">
        <f t="shared" si="69"/>
        <v>0</v>
      </c>
    </row>
    <row r="95" spans="1:21">
      <c r="A95" s="7">
        <f t="shared" si="55"/>
        <v>87</v>
      </c>
      <c r="B95" s="54">
        <f t="shared" si="63"/>
        <v>-185</v>
      </c>
      <c r="C95" s="7">
        <v>1</v>
      </c>
      <c r="D95" s="63">
        <f>D94+LOOKUP(C95,Geometry!$J$29:$K$35)</f>
        <v>685</v>
      </c>
      <c r="E95" s="63">
        <f t="shared" si="64"/>
        <v>-185</v>
      </c>
      <c r="F95" s="12">
        <f>Geometry!$D$12*D95</f>
        <v>13.426000000000002</v>
      </c>
      <c r="G95" s="4">
        <f t="shared" si="65"/>
        <v>0</v>
      </c>
      <c r="H95" s="4">
        <f t="shared" si="66"/>
        <v>0</v>
      </c>
      <c r="I95" s="15">
        <f t="shared" si="67"/>
        <v>0</v>
      </c>
      <c r="J95" s="15">
        <f t="shared" si="68"/>
        <v>0</v>
      </c>
      <c r="K95" s="15">
        <f>J95*Geometry!$J$2</f>
        <v>0</v>
      </c>
      <c r="L95" s="15"/>
      <c r="M95" s="54">
        <f>K95*(Vehicle!$H$22*0.75)</f>
        <v>0</v>
      </c>
      <c r="N95" s="54">
        <f>K95*(Vehicle!$H$22*0.25)</f>
        <v>0</v>
      </c>
      <c r="O95" s="54">
        <f>K95*(Vehicle!$H$23)</f>
        <v>0</v>
      </c>
      <c r="P95" s="54">
        <f>K95*(Vehicle!$H$24)</f>
        <v>0</v>
      </c>
      <c r="Q95" s="54">
        <f>K95*(Vehicle!$H$25)</f>
        <v>0</v>
      </c>
      <c r="R95" s="54"/>
      <c r="S95" s="54">
        <f>K95*(Vehicle!$H$26)</f>
        <v>0</v>
      </c>
      <c r="T95" s="54"/>
      <c r="U95" s="54">
        <f t="shared" si="69"/>
        <v>0</v>
      </c>
    </row>
    <row r="96" spans="1:21">
      <c r="A96" s="7">
        <f t="shared" si="55"/>
        <v>88</v>
      </c>
      <c r="B96" s="54">
        <f t="shared" si="63"/>
        <v>-190</v>
      </c>
      <c r="C96" s="7">
        <v>1</v>
      </c>
      <c r="D96" s="63">
        <f>D95+LOOKUP(C96,Geometry!$J$29:$K$35)</f>
        <v>690</v>
      </c>
      <c r="E96" s="63">
        <f t="shared" si="64"/>
        <v>-190</v>
      </c>
      <c r="F96" s="12">
        <f>Geometry!$D$12*D96</f>
        <v>13.524000000000003</v>
      </c>
      <c r="G96" s="4">
        <f t="shared" si="65"/>
        <v>0</v>
      </c>
      <c r="H96" s="4">
        <f t="shared" si="66"/>
        <v>0</v>
      </c>
      <c r="I96" s="15">
        <f t="shared" si="67"/>
        <v>0</v>
      </c>
      <c r="J96" s="15">
        <f t="shared" si="68"/>
        <v>0</v>
      </c>
      <c r="K96" s="15">
        <f>J96*Geometry!$J$2</f>
        <v>0</v>
      </c>
      <c r="L96" s="15"/>
      <c r="M96" s="54">
        <f>K96*(Vehicle!$H$22*0.75)</f>
        <v>0</v>
      </c>
      <c r="N96" s="54">
        <f>K96*(Vehicle!$H$22*0.25)</f>
        <v>0</v>
      </c>
      <c r="O96" s="54">
        <f>K96*(Vehicle!$H$23)</f>
        <v>0</v>
      </c>
      <c r="P96" s="54">
        <f>K96*(Vehicle!$H$24)</f>
        <v>0</v>
      </c>
      <c r="Q96" s="54">
        <f>K96*(Vehicle!$H$25)</f>
        <v>0</v>
      </c>
      <c r="R96" s="54"/>
      <c r="S96" s="54">
        <f>K96*(Vehicle!$H$26)</f>
        <v>0</v>
      </c>
      <c r="T96" s="54"/>
      <c r="U96" s="54">
        <f t="shared" si="69"/>
        <v>0</v>
      </c>
    </row>
    <row r="97" spans="1:21">
      <c r="A97" s="7">
        <f t="shared" si="55"/>
        <v>89</v>
      </c>
      <c r="B97" s="54">
        <f t="shared" si="63"/>
        <v>-195</v>
      </c>
      <c r="C97" s="7">
        <v>1</v>
      </c>
      <c r="D97" s="63">
        <f>D96+LOOKUP(C97,Geometry!$J$29:$K$35)</f>
        <v>695</v>
      </c>
      <c r="E97" s="63">
        <f t="shared" si="64"/>
        <v>-195</v>
      </c>
      <c r="F97" s="12">
        <f>Geometry!$D$12*D97</f>
        <v>13.622000000000002</v>
      </c>
      <c r="G97" s="4">
        <f t="shared" si="65"/>
        <v>0</v>
      </c>
      <c r="H97" s="4">
        <f t="shared" si="66"/>
        <v>0</v>
      </c>
      <c r="I97" s="15">
        <f t="shared" si="67"/>
        <v>0</v>
      </c>
      <c r="J97" s="15">
        <f t="shared" si="68"/>
        <v>0</v>
      </c>
      <c r="K97" s="15">
        <f>J97*Geometry!$J$2</f>
        <v>0</v>
      </c>
      <c r="L97" s="15"/>
      <c r="M97" s="54">
        <f>K97*(Vehicle!$H$22*0.75)</f>
        <v>0</v>
      </c>
      <c r="N97" s="54">
        <f>K97*(Vehicle!$H$22*0.25)</f>
        <v>0</v>
      </c>
      <c r="O97" s="54">
        <f>K97*(Vehicle!$H$23)</f>
        <v>0</v>
      </c>
      <c r="P97" s="54">
        <f>K97*(Vehicle!$H$24)</f>
        <v>0</v>
      </c>
      <c r="Q97" s="54">
        <f>K97*(Vehicle!$H$25)</f>
        <v>0</v>
      </c>
      <c r="R97" s="54"/>
      <c r="S97" s="54">
        <f>K97*(Vehicle!$H$26)</f>
        <v>0</v>
      </c>
      <c r="T97" s="54"/>
      <c r="U97" s="54">
        <f t="shared" si="69"/>
        <v>0</v>
      </c>
    </row>
    <row r="98" spans="1:21">
      <c r="A98" s="7">
        <f t="shared" si="55"/>
        <v>90</v>
      </c>
      <c r="B98" s="54">
        <f t="shared" si="63"/>
        <v>-200</v>
      </c>
      <c r="C98" s="7">
        <v>1</v>
      </c>
      <c r="D98" s="63">
        <f>D97+LOOKUP(C98,Geometry!$J$29:$K$35)</f>
        <v>700</v>
      </c>
      <c r="E98" s="63">
        <f t="shared" si="64"/>
        <v>-200</v>
      </c>
      <c r="F98" s="12">
        <f>Geometry!$D$12*D98</f>
        <v>13.720000000000002</v>
      </c>
      <c r="G98" s="4">
        <f t="shared" si="65"/>
        <v>0</v>
      </c>
      <c r="H98" s="4">
        <f t="shared" si="66"/>
        <v>0</v>
      </c>
      <c r="I98" s="15">
        <f t="shared" si="67"/>
        <v>0</v>
      </c>
      <c r="J98" s="15">
        <f t="shared" si="68"/>
        <v>0</v>
      </c>
      <c r="K98" s="15">
        <f>J98*Geometry!$J$2</f>
        <v>0</v>
      </c>
      <c r="L98" s="15"/>
      <c r="M98" s="54">
        <f>K98*(Vehicle!$H$22*0.75)</f>
        <v>0</v>
      </c>
      <c r="N98" s="54">
        <f>K98*(Vehicle!$H$22*0.25)</f>
        <v>0</v>
      </c>
      <c r="O98" s="54">
        <f>K98*(Vehicle!$H$23)</f>
        <v>0</v>
      </c>
      <c r="P98" s="54">
        <f>K98*(Vehicle!$H$24)</f>
        <v>0</v>
      </c>
      <c r="Q98" s="54">
        <f>K98*(Vehicle!$H$25)</f>
        <v>0</v>
      </c>
      <c r="R98" s="54"/>
      <c r="S98" s="54">
        <f>K98*(Vehicle!$H$26)</f>
        <v>0</v>
      </c>
      <c r="T98" s="54"/>
      <c r="U98" s="54">
        <f t="shared" si="69"/>
        <v>0</v>
      </c>
    </row>
    <row r="99" spans="1:21">
      <c r="A99" s="7">
        <f t="shared" si="55"/>
        <v>91</v>
      </c>
      <c r="B99" s="54">
        <f t="shared" si="63"/>
        <v>-205</v>
      </c>
      <c r="C99" s="7">
        <v>1</v>
      </c>
      <c r="D99" s="63">
        <f>D98+LOOKUP(C99,Geometry!$J$29:$K$35)</f>
        <v>705</v>
      </c>
      <c r="E99" s="63">
        <f t="shared" si="64"/>
        <v>-205</v>
      </c>
      <c r="F99" s="12">
        <f>Geometry!$D$12*D99</f>
        <v>13.818000000000001</v>
      </c>
      <c r="G99" s="4">
        <f t="shared" si="65"/>
        <v>0</v>
      </c>
      <c r="H99" s="4">
        <f t="shared" si="66"/>
        <v>0</v>
      </c>
      <c r="I99" s="15">
        <f t="shared" si="67"/>
        <v>0</v>
      </c>
      <c r="J99" s="15">
        <f t="shared" si="68"/>
        <v>0</v>
      </c>
      <c r="K99" s="15">
        <f>J99*Geometry!$J$2</f>
        <v>0</v>
      </c>
      <c r="L99" s="15"/>
      <c r="M99" s="54">
        <f>K99*(Vehicle!$H$22*0.75)</f>
        <v>0</v>
      </c>
      <c r="N99" s="54">
        <f>K99*(Vehicle!$H$22*0.25)</f>
        <v>0</v>
      </c>
      <c r="O99" s="54">
        <f>K99*(Vehicle!$H$23)</f>
        <v>0</v>
      </c>
      <c r="P99" s="54">
        <f>K99*(Vehicle!$H$24)</f>
        <v>0</v>
      </c>
      <c r="Q99" s="54">
        <f>K99*(Vehicle!$H$25)</f>
        <v>0</v>
      </c>
      <c r="R99" s="54"/>
      <c r="S99" s="54">
        <f>K99*(Vehicle!$H$26)</f>
        <v>0</v>
      </c>
      <c r="T99" s="54"/>
      <c r="U99" s="54">
        <f t="shared" si="69"/>
        <v>0</v>
      </c>
    </row>
    <row r="100" spans="1:21">
      <c r="A100" s="7">
        <f t="shared" si="55"/>
        <v>92</v>
      </c>
      <c r="B100" s="54">
        <f t="shared" ref="B100:B108" si="70">B99-(D100-D99)</f>
        <v>-210</v>
      </c>
      <c r="C100" s="7">
        <v>1</v>
      </c>
      <c r="D100" s="63">
        <f>D99+LOOKUP(C100,Geometry!$J$29:$K$35)</f>
        <v>710</v>
      </c>
      <c r="E100" s="63">
        <f t="shared" ref="E100:E108" si="71">E99-(D100-D99)</f>
        <v>-210</v>
      </c>
      <c r="F100" s="12">
        <f>Geometry!$D$12*D100</f>
        <v>13.916000000000002</v>
      </c>
      <c r="G100" s="4">
        <f t="shared" ref="G100:G108" si="72">IF(H100&gt;0,F100/9.8,0)</f>
        <v>0</v>
      </c>
      <c r="H100" s="4">
        <f t="shared" ref="H100:H108" si="73">IF(D100&lt;=$F$5,1,0)</f>
        <v>0</v>
      </c>
      <c r="I100" s="15">
        <f t="shared" ref="I100:I108" si="74">IF(D100&lt;=$F$5,D100*2*PI()*$C$2*H100,0)</f>
        <v>0</v>
      </c>
      <c r="J100" s="15">
        <f t="shared" ref="J100:J108" si="75">FLOOR(I100/$J$1,1)</f>
        <v>0</v>
      </c>
      <c r="K100" s="15">
        <f>J100*Geometry!$J$2</f>
        <v>0</v>
      </c>
      <c r="L100" s="15"/>
      <c r="M100" s="54">
        <f>K100*(Vehicle!$H$22*0.75)</f>
        <v>0</v>
      </c>
      <c r="N100" s="54">
        <f>K100*(Vehicle!$H$22*0.25)</f>
        <v>0</v>
      </c>
      <c r="O100" s="54">
        <f>K100*(Vehicle!$H$23)</f>
        <v>0</v>
      </c>
      <c r="P100" s="54">
        <f>K100*(Vehicle!$H$24)</f>
        <v>0</v>
      </c>
      <c r="Q100" s="54">
        <f>K100*(Vehicle!$H$25)</f>
        <v>0</v>
      </c>
      <c r="R100" s="54"/>
      <c r="S100" s="54">
        <f>K100*(Vehicle!$H$26)</f>
        <v>0</v>
      </c>
      <c r="T100" s="54"/>
      <c r="U100" s="54">
        <f t="shared" ref="U100:U108" si="76">(K100-SUM(M100:S100))*0.25</f>
        <v>0</v>
      </c>
    </row>
    <row r="101" spans="1:21">
      <c r="A101" s="7">
        <f t="shared" si="55"/>
        <v>93</v>
      </c>
      <c r="B101" s="54">
        <f t="shared" si="70"/>
        <v>-215</v>
      </c>
      <c r="C101" s="7">
        <v>1</v>
      </c>
      <c r="D101" s="63">
        <f>D100+LOOKUP(C101,Geometry!$J$29:$K$35)</f>
        <v>715</v>
      </c>
      <c r="E101" s="63">
        <f t="shared" si="71"/>
        <v>-215</v>
      </c>
      <c r="F101" s="12">
        <f>Geometry!$D$12*D101</f>
        <v>14.014000000000003</v>
      </c>
      <c r="G101" s="4">
        <f t="shared" si="72"/>
        <v>0</v>
      </c>
      <c r="H101" s="4">
        <f t="shared" si="73"/>
        <v>0</v>
      </c>
      <c r="I101" s="15">
        <f t="shared" si="74"/>
        <v>0</v>
      </c>
      <c r="J101" s="15">
        <f t="shared" si="75"/>
        <v>0</v>
      </c>
      <c r="K101" s="15">
        <f>J101*Geometry!$J$2</f>
        <v>0</v>
      </c>
      <c r="L101" s="15"/>
      <c r="M101" s="54">
        <f>K101*(Vehicle!$H$22*0.75)</f>
        <v>0</v>
      </c>
      <c r="N101" s="54">
        <f>K101*(Vehicle!$H$22*0.25)</f>
        <v>0</v>
      </c>
      <c r="O101" s="54">
        <f>K101*(Vehicle!$H$23)</f>
        <v>0</v>
      </c>
      <c r="P101" s="54">
        <f>K101*(Vehicle!$H$24)</f>
        <v>0</v>
      </c>
      <c r="Q101" s="54">
        <f>K101*(Vehicle!$H$25)</f>
        <v>0</v>
      </c>
      <c r="R101" s="54"/>
      <c r="S101" s="54">
        <f>K101*(Vehicle!$H$26)</f>
        <v>0</v>
      </c>
      <c r="T101" s="54"/>
      <c r="U101" s="54">
        <f t="shared" si="76"/>
        <v>0</v>
      </c>
    </row>
    <row r="102" spans="1:21">
      <c r="A102" s="7">
        <f t="shared" si="55"/>
        <v>94</v>
      </c>
      <c r="B102" s="54">
        <f t="shared" si="70"/>
        <v>-220</v>
      </c>
      <c r="C102" s="7">
        <v>1</v>
      </c>
      <c r="D102" s="63">
        <f>D101+LOOKUP(C102,Geometry!$J$29:$K$35)</f>
        <v>720</v>
      </c>
      <c r="E102" s="63">
        <f t="shared" si="71"/>
        <v>-220</v>
      </c>
      <c r="F102" s="12">
        <f>Geometry!$D$12*D102</f>
        <v>14.112000000000002</v>
      </c>
      <c r="G102" s="4">
        <f t="shared" si="72"/>
        <v>0</v>
      </c>
      <c r="H102" s="4">
        <f t="shared" si="73"/>
        <v>0</v>
      </c>
      <c r="I102" s="15">
        <f t="shared" si="74"/>
        <v>0</v>
      </c>
      <c r="J102" s="15">
        <f t="shared" si="75"/>
        <v>0</v>
      </c>
      <c r="K102" s="15">
        <f>J102*Geometry!$J$2</f>
        <v>0</v>
      </c>
      <c r="L102" s="15"/>
      <c r="M102" s="54">
        <f>K102*(Vehicle!$H$22*0.75)</f>
        <v>0</v>
      </c>
      <c r="N102" s="54">
        <f>K102*(Vehicle!$H$22*0.25)</f>
        <v>0</v>
      </c>
      <c r="O102" s="54">
        <f>K102*(Vehicle!$H$23)</f>
        <v>0</v>
      </c>
      <c r="P102" s="54">
        <f>K102*(Vehicle!$H$24)</f>
        <v>0</v>
      </c>
      <c r="Q102" s="54">
        <f>K102*(Vehicle!$H$25)</f>
        <v>0</v>
      </c>
      <c r="R102" s="54"/>
      <c r="S102" s="54">
        <f>K102*(Vehicle!$H$26)</f>
        <v>0</v>
      </c>
      <c r="T102" s="54"/>
      <c r="U102" s="54">
        <f t="shared" si="76"/>
        <v>0</v>
      </c>
    </row>
    <row r="103" spans="1:21">
      <c r="A103" s="7">
        <f t="shared" si="55"/>
        <v>95</v>
      </c>
      <c r="B103" s="54">
        <f t="shared" si="70"/>
        <v>-225</v>
      </c>
      <c r="C103" s="7">
        <v>1</v>
      </c>
      <c r="D103" s="63">
        <f>D102+LOOKUP(C103,Geometry!$J$29:$K$35)</f>
        <v>725</v>
      </c>
      <c r="E103" s="63">
        <f t="shared" si="71"/>
        <v>-225</v>
      </c>
      <c r="F103" s="12">
        <f>Geometry!$D$12*D103</f>
        <v>14.210000000000003</v>
      </c>
      <c r="G103" s="4">
        <f t="shared" si="72"/>
        <v>0</v>
      </c>
      <c r="H103" s="4">
        <f t="shared" si="73"/>
        <v>0</v>
      </c>
      <c r="I103" s="15">
        <f t="shared" si="74"/>
        <v>0</v>
      </c>
      <c r="J103" s="15">
        <f t="shared" si="75"/>
        <v>0</v>
      </c>
      <c r="K103" s="15">
        <f>J103*Geometry!$J$2</f>
        <v>0</v>
      </c>
      <c r="L103" s="15"/>
      <c r="M103" s="54">
        <f>K103*(Vehicle!$H$22*0.75)</f>
        <v>0</v>
      </c>
      <c r="N103" s="54">
        <f>K103*(Vehicle!$H$22*0.25)</f>
        <v>0</v>
      </c>
      <c r="O103" s="54">
        <f>K103*(Vehicle!$H$23)</f>
        <v>0</v>
      </c>
      <c r="P103" s="54">
        <f>K103*(Vehicle!$H$24)</f>
        <v>0</v>
      </c>
      <c r="Q103" s="54">
        <f>K103*(Vehicle!$H$25)</f>
        <v>0</v>
      </c>
      <c r="R103" s="54"/>
      <c r="S103" s="54">
        <f>K103*(Vehicle!$H$26)</f>
        <v>0</v>
      </c>
      <c r="T103" s="54"/>
      <c r="U103" s="54">
        <f t="shared" si="76"/>
        <v>0</v>
      </c>
    </row>
    <row r="104" spans="1:21">
      <c r="A104" s="7">
        <f t="shared" si="55"/>
        <v>96</v>
      </c>
      <c r="B104" s="54">
        <f t="shared" si="70"/>
        <v>-230</v>
      </c>
      <c r="C104" s="7">
        <v>1</v>
      </c>
      <c r="D104" s="63">
        <f>D103+LOOKUP(C104,Geometry!$J$29:$K$35)</f>
        <v>730</v>
      </c>
      <c r="E104" s="63">
        <f t="shared" si="71"/>
        <v>-230</v>
      </c>
      <c r="F104" s="12">
        <f>Geometry!$D$12*D104</f>
        <v>14.308000000000002</v>
      </c>
      <c r="G104" s="4">
        <f t="shared" si="72"/>
        <v>0</v>
      </c>
      <c r="H104" s="4">
        <f t="shared" si="73"/>
        <v>0</v>
      </c>
      <c r="I104" s="15">
        <f t="shared" si="74"/>
        <v>0</v>
      </c>
      <c r="J104" s="15">
        <f t="shared" si="75"/>
        <v>0</v>
      </c>
      <c r="K104" s="15">
        <f>J104*Geometry!$J$2</f>
        <v>0</v>
      </c>
      <c r="L104" s="15"/>
      <c r="M104" s="54">
        <f>K104*(Vehicle!$H$22*0.75)</f>
        <v>0</v>
      </c>
      <c r="N104" s="54">
        <f>K104*(Vehicle!$H$22*0.25)</f>
        <v>0</v>
      </c>
      <c r="O104" s="54">
        <f>K104*(Vehicle!$H$23)</f>
        <v>0</v>
      </c>
      <c r="P104" s="54">
        <f>K104*(Vehicle!$H$24)</f>
        <v>0</v>
      </c>
      <c r="Q104" s="54">
        <f>K104*(Vehicle!$H$25)</f>
        <v>0</v>
      </c>
      <c r="R104" s="54"/>
      <c r="S104" s="54">
        <f>K104*(Vehicle!$H$26)</f>
        <v>0</v>
      </c>
      <c r="T104" s="54"/>
      <c r="U104" s="54">
        <f t="shared" si="76"/>
        <v>0</v>
      </c>
    </row>
    <row r="105" spans="1:21">
      <c r="A105" s="7">
        <f t="shared" si="55"/>
        <v>97</v>
      </c>
      <c r="B105" s="54">
        <f t="shared" si="70"/>
        <v>-235</v>
      </c>
      <c r="C105" s="7">
        <v>1</v>
      </c>
      <c r="D105" s="63">
        <f>D104+LOOKUP(C105,Geometry!$J$29:$K$35)</f>
        <v>735</v>
      </c>
      <c r="E105" s="63">
        <f t="shared" si="71"/>
        <v>-235</v>
      </c>
      <c r="F105" s="12">
        <f>Geometry!$D$12*D105</f>
        <v>14.406000000000002</v>
      </c>
      <c r="G105" s="4">
        <f t="shared" si="72"/>
        <v>0</v>
      </c>
      <c r="H105" s="4">
        <f t="shared" si="73"/>
        <v>0</v>
      </c>
      <c r="I105" s="15">
        <f t="shared" si="74"/>
        <v>0</v>
      </c>
      <c r="J105" s="15">
        <f t="shared" si="75"/>
        <v>0</v>
      </c>
      <c r="K105" s="15">
        <f>J105*Geometry!$J$2</f>
        <v>0</v>
      </c>
      <c r="L105" s="15"/>
      <c r="M105" s="54">
        <f>K105*(Vehicle!$H$22*0.75)</f>
        <v>0</v>
      </c>
      <c r="N105" s="54">
        <f>K105*(Vehicle!$H$22*0.25)</f>
        <v>0</v>
      </c>
      <c r="O105" s="54">
        <f>K105*(Vehicle!$H$23)</f>
        <v>0</v>
      </c>
      <c r="P105" s="54">
        <f>K105*(Vehicle!$H$24)</f>
        <v>0</v>
      </c>
      <c r="Q105" s="54">
        <f>K105*(Vehicle!$H$25)</f>
        <v>0</v>
      </c>
      <c r="R105" s="54"/>
      <c r="S105" s="54">
        <f>K105*(Vehicle!$H$26)</f>
        <v>0</v>
      </c>
      <c r="T105" s="54"/>
      <c r="U105" s="54">
        <f t="shared" si="76"/>
        <v>0</v>
      </c>
    </row>
    <row r="106" spans="1:21">
      <c r="A106" s="7">
        <f t="shared" si="55"/>
        <v>98</v>
      </c>
      <c r="B106" s="54">
        <f t="shared" si="70"/>
        <v>-240</v>
      </c>
      <c r="C106" s="7">
        <v>1</v>
      </c>
      <c r="D106" s="63">
        <f>D105+LOOKUP(C106,Geometry!$J$29:$K$35)</f>
        <v>740</v>
      </c>
      <c r="E106" s="63">
        <f t="shared" si="71"/>
        <v>-240</v>
      </c>
      <c r="F106" s="12">
        <f>Geometry!$D$12*D106</f>
        <v>14.504000000000001</v>
      </c>
      <c r="G106" s="4">
        <f t="shared" si="72"/>
        <v>0</v>
      </c>
      <c r="H106" s="4">
        <f t="shared" si="73"/>
        <v>0</v>
      </c>
      <c r="I106" s="15">
        <f t="shared" si="74"/>
        <v>0</v>
      </c>
      <c r="J106" s="15">
        <f t="shared" si="75"/>
        <v>0</v>
      </c>
      <c r="K106" s="15">
        <f>J106*Geometry!$J$2</f>
        <v>0</v>
      </c>
      <c r="L106" s="15"/>
      <c r="M106" s="54">
        <f>K106*(Vehicle!$H$22*0.75)</f>
        <v>0</v>
      </c>
      <c r="N106" s="54">
        <f>K106*(Vehicle!$H$22*0.25)</f>
        <v>0</v>
      </c>
      <c r="O106" s="54">
        <f>K106*(Vehicle!$H$23)</f>
        <v>0</v>
      </c>
      <c r="P106" s="54">
        <f>K106*(Vehicle!$H$24)</f>
        <v>0</v>
      </c>
      <c r="Q106" s="54">
        <f>K106*(Vehicle!$H$25)</f>
        <v>0</v>
      </c>
      <c r="R106" s="54"/>
      <c r="S106" s="54">
        <f>K106*(Vehicle!$H$26)</f>
        <v>0</v>
      </c>
      <c r="T106" s="54"/>
      <c r="U106" s="54">
        <f t="shared" si="76"/>
        <v>0</v>
      </c>
    </row>
    <row r="107" spans="1:21">
      <c r="A107" s="7">
        <f t="shared" si="55"/>
        <v>99</v>
      </c>
      <c r="B107" s="54">
        <f t="shared" si="70"/>
        <v>-245</v>
      </c>
      <c r="C107" s="7">
        <v>1</v>
      </c>
      <c r="D107" s="63">
        <f>D106+LOOKUP(C107,Geometry!$J$29:$K$35)</f>
        <v>745</v>
      </c>
      <c r="E107" s="63">
        <f t="shared" si="71"/>
        <v>-245</v>
      </c>
      <c r="F107" s="12">
        <f>Geometry!$D$12*D107</f>
        <v>14.602000000000002</v>
      </c>
      <c r="G107" s="4">
        <f t="shared" si="72"/>
        <v>0</v>
      </c>
      <c r="H107" s="4">
        <f t="shared" si="73"/>
        <v>0</v>
      </c>
      <c r="I107" s="15">
        <f t="shared" si="74"/>
        <v>0</v>
      </c>
      <c r="J107" s="15">
        <f t="shared" si="75"/>
        <v>0</v>
      </c>
      <c r="K107" s="15">
        <f>J107*Geometry!$J$2</f>
        <v>0</v>
      </c>
      <c r="L107" s="15"/>
      <c r="M107" s="54">
        <f>K107*(Vehicle!$H$22*0.75)</f>
        <v>0</v>
      </c>
      <c r="N107" s="54">
        <f>K107*(Vehicle!$H$22*0.25)</f>
        <v>0</v>
      </c>
      <c r="O107" s="54">
        <f>K107*(Vehicle!$H$23)</f>
        <v>0</v>
      </c>
      <c r="P107" s="54">
        <f>K107*(Vehicle!$H$24)</f>
        <v>0</v>
      </c>
      <c r="Q107" s="54">
        <f>K107*(Vehicle!$H$25)</f>
        <v>0</v>
      </c>
      <c r="R107" s="54"/>
      <c r="S107" s="54">
        <f>K107*(Vehicle!$H$26)</f>
        <v>0</v>
      </c>
      <c r="T107" s="54"/>
      <c r="U107" s="54">
        <f t="shared" si="76"/>
        <v>0</v>
      </c>
    </row>
    <row r="108" spans="1:21">
      <c r="A108" s="7">
        <f t="shared" si="55"/>
        <v>100</v>
      </c>
      <c r="B108" s="54">
        <f t="shared" si="70"/>
        <v>-250</v>
      </c>
      <c r="C108" s="7">
        <v>1</v>
      </c>
      <c r="D108" s="63">
        <f>D107+LOOKUP(C108,Geometry!$J$29:$K$35)</f>
        <v>750</v>
      </c>
      <c r="E108" s="63">
        <f t="shared" si="71"/>
        <v>-250</v>
      </c>
      <c r="F108" s="12">
        <f>Geometry!$D$12*D108</f>
        <v>14.700000000000003</v>
      </c>
      <c r="G108" s="4">
        <f t="shared" si="72"/>
        <v>0</v>
      </c>
      <c r="H108" s="4">
        <f t="shared" si="73"/>
        <v>0</v>
      </c>
      <c r="I108" s="15">
        <f t="shared" si="74"/>
        <v>0</v>
      </c>
      <c r="J108" s="15">
        <f t="shared" si="75"/>
        <v>0</v>
      </c>
      <c r="K108" s="15">
        <f>J108*Geometry!$J$2</f>
        <v>0</v>
      </c>
      <c r="L108" s="15"/>
      <c r="M108" s="54">
        <f>K108*(Vehicle!$H$22*0.75)</f>
        <v>0</v>
      </c>
      <c r="N108" s="54">
        <f>K108*(Vehicle!$H$22*0.25)</f>
        <v>0</v>
      </c>
      <c r="O108" s="54">
        <f>K108*(Vehicle!$H$23)</f>
        <v>0</v>
      </c>
      <c r="P108" s="54">
        <f>K108*(Vehicle!$H$24)</f>
        <v>0</v>
      </c>
      <c r="Q108" s="54">
        <f>K108*(Vehicle!$H$25)</f>
        <v>0</v>
      </c>
      <c r="R108" s="54"/>
      <c r="S108" s="54">
        <f>K108*(Vehicle!$H$26)</f>
        <v>0</v>
      </c>
      <c r="T108" s="54"/>
      <c r="U108" s="54">
        <f t="shared" si="76"/>
        <v>0</v>
      </c>
    </row>
    <row r="109" spans="1:21">
      <c r="A109" s="7">
        <f t="shared" si="55"/>
        <v>101</v>
      </c>
      <c r="B109" s="54">
        <f t="shared" ref="B109:B114" si="77">B108-(D109-D108)</f>
        <v>-255</v>
      </c>
      <c r="C109" s="7">
        <v>1</v>
      </c>
      <c r="D109" s="63">
        <f>D108+LOOKUP(C109,Geometry!$J$29:$K$35)</f>
        <v>755</v>
      </c>
      <c r="E109" s="63">
        <f t="shared" ref="E109:E114" si="78">E108-(D109-D108)</f>
        <v>-255</v>
      </c>
      <c r="F109" s="12">
        <f>Geometry!$D$12*D109</f>
        <v>14.798000000000002</v>
      </c>
      <c r="G109" s="4">
        <f t="shared" ref="G109:G114" si="79">IF(H109&gt;0,F109/9.8,0)</f>
        <v>0</v>
      </c>
      <c r="H109" s="4">
        <f t="shared" ref="H109:H114" si="80">IF(D109&lt;=$F$5,1,0)</f>
        <v>0</v>
      </c>
      <c r="I109" s="15">
        <f t="shared" ref="I109:I114" si="81">IF(D109&lt;=$F$5,D109*2*PI()*$C$2*H109,0)</f>
        <v>0</v>
      </c>
      <c r="J109" s="15">
        <f t="shared" ref="J109:J114" si="82">FLOOR(I109/$J$1,1)</f>
        <v>0</v>
      </c>
      <c r="K109" s="15">
        <f>J109*Geometry!$J$2</f>
        <v>0</v>
      </c>
      <c r="L109" s="15"/>
      <c r="M109" s="54">
        <f>K109*(Vehicle!$H$22*0.75)</f>
        <v>0</v>
      </c>
      <c r="N109" s="54">
        <f>K109*(Vehicle!$H$22*0.25)</f>
        <v>0</v>
      </c>
      <c r="O109" s="54">
        <f>K109*(Vehicle!$H$23)</f>
        <v>0</v>
      </c>
      <c r="P109" s="54">
        <f>K109*(Vehicle!$H$24)</f>
        <v>0</v>
      </c>
      <c r="Q109" s="54">
        <f>K109*(Vehicle!$H$25)</f>
        <v>0</v>
      </c>
      <c r="R109" s="54"/>
      <c r="S109" s="54">
        <f>K109*(Vehicle!$H$26)</f>
        <v>0</v>
      </c>
      <c r="T109" s="54"/>
      <c r="U109" s="54">
        <f t="shared" ref="U109:U114" si="83">(K109-SUM(M109:S109))*0.25</f>
        <v>0</v>
      </c>
    </row>
    <row r="110" spans="1:21">
      <c r="A110" s="7">
        <f t="shared" si="55"/>
        <v>102</v>
      </c>
      <c r="B110" s="54">
        <f t="shared" si="77"/>
        <v>-260</v>
      </c>
      <c r="C110" s="7">
        <v>1</v>
      </c>
      <c r="D110" s="63">
        <f>D109+LOOKUP(C110,Geometry!$J$29:$K$35)</f>
        <v>760</v>
      </c>
      <c r="E110" s="63">
        <f t="shared" si="78"/>
        <v>-260</v>
      </c>
      <c r="F110" s="12">
        <f>Geometry!$D$12*D110</f>
        <v>14.896000000000003</v>
      </c>
      <c r="G110" s="4">
        <f t="shared" si="79"/>
        <v>0</v>
      </c>
      <c r="H110" s="4">
        <f t="shared" si="80"/>
        <v>0</v>
      </c>
      <c r="I110" s="15">
        <f t="shared" si="81"/>
        <v>0</v>
      </c>
      <c r="J110" s="15">
        <f t="shared" si="82"/>
        <v>0</v>
      </c>
      <c r="K110" s="15">
        <f>J110*Geometry!$J$2</f>
        <v>0</v>
      </c>
      <c r="L110" s="15"/>
      <c r="M110" s="54">
        <f>K110*(Vehicle!$H$22*0.75)</f>
        <v>0</v>
      </c>
      <c r="N110" s="54">
        <f>K110*(Vehicle!$H$22*0.25)</f>
        <v>0</v>
      </c>
      <c r="O110" s="54">
        <f>K110*(Vehicle!$H$23)</f>
        <v>0</v>
      </c>
      <c r="P110" s="54">
        <f>K110*(Vehicle!$H$24)</f>
        <v>0</v>
      </c>
      <c r="Q110" s="54">
        <f>K110*(Vehicle!$H$25)</f>
        <v>0</v>
      </c>
      <c r="R110" s="54"/>
      <c r="S110" s="54">
        <f>K110*(Vehicle!$H$26)</f>
        <v>0</v>
      </c>
      <c r="T110" s="54"/>
      <c r="U110" s="54">
        <f t="shared" si="83"/>
        <v>0</v>
      </c>
    </row>
    <row r="111" spans="1:21">
      <c r="A111" s="7">
        <f t="shared" si="55"/>
        <v>103</v>
      </c>
      <c r="B111" s="54">
        <f t="shared" si="77"/>
        <v>-265</v>
      </c>
      <c r="C111" s="7">
        <v>1</v>
      </c>
      <c r="D111" s="63">
        <f>D110+LOOKUP(C111,Geometry!$J$29:$K$35)</f>
        <v>765</v>
      </c>
      <c r="E111" s="63">
        <f t="shared" si="78"/>
        <v>-265</v>
      </c>
      <c r="F111" s="12">
        <f>Geometry!$D$12*D111</f>
        <v>14.994000000000002</v>
      </c>
      <c r="G111" s="4">
        <f t="shared" si="79"/>
        <v>0</v>
      </c>
      <c r="H111" s="4">
        <f t="shared" si="80"/>
        <v>0</v>
      </c>
      <c r="I111" s="15">
        <f t="shared" si="81"/>
        <v>0</v>
      </c>
      <c r="J111" s="15">
        <f t="shared" si="82"/>
        <v>0</v>
      </c>
      <c r="K111" s="15">
        <f>J111*Geometry!$J$2</f>
        <v>0</v>
      </c>
      <c r="L111" s="15"/>
      <c r="M111" s="54">
        <f>K111*(Vehicle!$H$22*0.75)</f>
        <v>0</v>
      </c>
      <c r="N111" s="54">
        <f>K111*(Vehicle!$H$22*0.25)</f>
        <v>0</v>
      </c>
      <c r="O111" s="54">
        <f>K111*(Vehicle!$H$23)</f>
        <v>0</v>
      </c>
      <c r="P111" s="54">
        <f>K111*(Vehicle!$H$24)</f>
        <v>0</v>
      </c>
      <c r="Q111" s="54">
        <f>K111*(Vehicle!$H$25)</f>
        <v>0</v>
      </c>
      <c r="R111" s="54"/>
      <c r="S111" s="54">
        <f>K111*(Vehicle!$H$26)</f>
        <v>0</v>
      </c>
      <c r="T111" s="54"/>
      <c r="U111" s="54">
        <f t="shared" si="83"/>
        <v>0</v>
      </c>
    </row>
    <row r="112" spans="1:21">
      <c r="A112" s="7">
        <f t="shared" si="55"/>
        <v>104</v>
      </c>
      <c r="B112" s="54">
        <f t="shared" si="77"/>
        <v>-270</v>
      </c>
      <c r="C112" s="7">
        <v>1</v>
      </c>
      <c r="D112" s="63">
        <f>D111+LOOKUP(C112,Geometry!$J$29:$K$35)</f>
        <v>770</v>
      </c>
      <c r="E112" s="63">
        <f t="shared" si="78"/>
        <v>-270</v>
      </c>
      <c r="F112" s="12">
        <f>Geometry!$D$12*D112</f>
        <v>15.092000000000002</v>
      </c>
      <c r="G112" s="4">
        <f t="shared" si="79"/>
        <v>0</v>
      </c>
      <c r="H112" s="4">
        <f t="shared" si="80"/>
        <v>0</v>
      </c>
      <c r="I112" s="15">
        <f t="shared" si="81"/>
        <v>0</v>
      </c>
      <c r="J112" s="15">
        <f t="shared" si="82"/>
        <v>0</v>
      </c>
      <c r="K112" s="15">
        <f>J112*Geometry!$J$2</f>
        <v>0</v>
      </c>
      <c r="L112" s="15"/>
      <c r="M112" s="54">
        <f>K112*(Vehicle!$H$22*0.75)</f>
        <v>0</v>
      </c>
      <c r="N112" s="54">
        <f>K112*(Vehicle!$H$22*0.25)</f>
        <v>0</v>
      </c>
      <c r="O112" s="54">
        <f>K112*(Vehicle!$H$23)</f>
        <v>0</v>
      </c>
      <c r="P112" s="54">
        <f>K112*(Vehicle!$H$24)</f>
        <v>0</v>
      </c>
      <c r="Q112" s="54">
        <f>K112*(Vehicle!$H$25)</f>
        <v>0</v>
      </c>
      <c r="R112" s="54"/>
      <c r="S112" s="54">
        <f>K112*(Vehicle!$H$26)</f>
        <v>0</v>
      </c>
      <c r="T112" s="54"/>
      <c r="U112" s="54">
        <f t="shared" si="83"/>
        <v>0</v>
      </c>
    </row>
    <row r="113" spans="1:21">
      <c r="A113" s="7">
        <f t="shared" si="55"/>
        <v>105</v>
      </c>
      <c r="B113" s="54">
        <f t="shared" si="77"/>
        <v>-275</v>
      </c>
      <c r="C113" s="7">
        <v>1</v>
      </c>
      <c r="D113" s="63">
        <f>D112+LOOKUP(C113,Geometry!$J$29:$K$35)</f>
        <v>775</v>
      </c>
      <c r="E113" s="63">
        <f t="shared" si="78"/>
        <v>-275</v>
      </c>
      <c r="F113" s="12">
        <f>Geometry!$D$12*D113</f>
        <v>15.190000000000003</v>
      </c>
      <c r="G113" s="4">
        <f t="shared" si="79"/>
        <v>0</v>
      </c>
      <c r="H113" s="4">
        <f t="shared" si="80"/>
        <v>0</v>
      </c>
      <c r="I113" s="15">
        <f t="shared" si="81"/>
        <v>0</v>
      </c>
      <c r="J113" s="15">
        <f t="shared" si="82"/>
        <v>0</v>
      </c>
      <c r="K113" s="15">
        <f>J113*Geometry!$J$2</f>
        <v>0</v>
      </c>
      <c r="L113" s="15"/>
      <c r="M113" s="54">
        <f>K113*(Vehicle!$H$22*0.75)</f>
        <v>0</v>
      </c>
      <c r="N113" s="54">
        <f>K113*(Vehicle!$H$22*0.25)</f>
        <v>0</v>
      </c>
      <c r="O113" s="54">
        <f>K113*(Vehicle!$H$23)</f>
        <v>0</v>
      </c>
      <c r="P113" s="54">
        <f>K113*(Vehicle!$H$24)</f>
        <v>0</v>
      </c>
      <c r="Q113" s="54">
        <f>K113*(Vehicle!$H$25)</f>
        <v>0</v>
      </c>
      <c r="R113" s="54"/>
      <c r="S113" s="54">
        <f>K113*(Vehicle!$H$26)</f>
        <v>0</v>
      </c>
      <c r="T113" s="54"/>
      <c r="U113" s="54">
        <f t="shared" si="83"/>
        <v>0</v>
      </c>
    </row>
    <row r="114" spans="1:21">
      <c r="A114" s="7">
        <f t="shared" si="55"/>
        <v>106</v>
      </c>
      <c r="B114" s="54">
        <f t="shared" si="77"/>
        <v>-280</v>
      </c>
      <c r="C114" s="7">
        <v>1</v>
      </c>
      <c r="D114" s="63">
        <f>D113+LOOKUP(C114,Geometry!$J$29:$K$35)</f>
        <v>780</v>
      </c>
      <c r="E114" s="63">
        <f t="shared" si="78"/>
        <v>-280</v>
      </c>
      <c r="F114" s="12">
        <f>Geometry!$D$12*D114</f>
        <v>15.288000000000002</v>
      </c>
      <c r="G114" s="4">
        <f t="shared" si="79"/>
        <v>0</v>
      </c>
      <c r="H114" s="4">
        <f t="shared" si="80"/>
        <v>0</v>
      </c>
      <c r="I114" s="15">
        <f t="shared" si="81"/>
        <v>0</v>
      </c>
      <c r="J114" s="15">
        <f t="shared" si="82"/>
        <v>0</v>
      </c>
      <c r="K114" s="15">
        <f>J114*Geometry!$J$2</f>
        <v>0</v>
      </c>
      <c r="L114" s="15"/>
      <c r="M114" s="54">
        <f>K114*(Vehicle!$H$22*0.75)</f>
        <v>0</v>
      </c>
      <c r="N114" s="54">
        <f>K114*(Vehicle!$H$22*0.25)</f>
        <v>0</v>
      </c>
      <c r="O114" s="54">
        <f>K114*(Vehicle!$H$23)</f>
        <v>0</v>
      </c>
      <c r="P114" s="54">
        <f>K114*(Vehicle!$H$24)</f>
        <v>0</v>
      </c>
      <c r="Q114" s="54">
        <f>K114*(Vehicle!$H$25)</f>
        <v>0</v>
      </c>
      <c r="R114" s="54"/>
      <c r="S114" s="54">
        <f>K114*(Vehicle!$H$26)</f>
        <v>0</v>
      </c>
      <c r="T114" s="54"/>
      <c r="U114" s="54">
        <f t="shared" si="83"/>
        <v>0</v>
      </c>
    </row>
    <row r="115" spans="1:21">
      <c r="A115" s="7">
        <f t="shared" si="55"/>
        <v>107</v>
      </c>
      <c r="B115" s="54">
        <f t="shared" ref="B115:B126" si="84">B114-(D115-D114)</f>
        <v>-285</v>
      </c>
      <c r="C115" s="7">
        <v>1</v>
      </c>
      <c r="D115" s="63">
        <f>D114+LOOKUP(C115,Geometry!$J$29:$K$35)</f>
        <v>785</v>
      </c>
      <c r="E115" s="63">
        <f t="shared" ref="E115:E126" si="85">E114-(D115-D114)</f>
        <v>-285</v>
      </c>
      <c r="F115" s="12">
        <f>Geometry!$D$12*D115</f>
        <v>15.386000000000003</v>
      </c>
      <c r="G115" s="4">
        <f t="shared" ref="G115:G126" si="86">IF(H115&gt;0,F115/9.8,0)</f>
        <v>0</v>
      </c>
      <c r="H115" s="4">
        <f t="shared" ref="H115:H126" si="87">IF(D115&lt;=$F$5,1,0)</f>
        <v>0</v>
      </c>
      <c r="I115" s="15">
        <f t="shared" ref="I115:I126" si="88">IF(D115&lt;=$F$5,D115*2*PI()*$C$2*H115,0)</f>
        <v>0</v>
      </c>
      <c r="J115" s="15">
        <f t="shared" ref="J115:J126" si="89">FLOOR(I115/$J$1,1)</f>
        <v>0</v>
      </c>
      <c r="K115" s="15">
        <f>J115*Geometry!$J$2</f>
        <v>0</v>
      </c>
      <c r="L115" s="15"/>
      <c r="M115" s="54">
        <f>K115*(Vehicle!$H$22*0.75)</f>
        <v>0</v>
      </c>
      <c r="N115" s="54">
        <f>K115*(Vehicle!$H$22*0.25)</f>
        <v>0</v>
      </c>
      <c r="O115" s="54">
        <f>K115*(Vehicle!$H$23)</f>
        <v>0</v>
      </c>
      <c r="P115" s="54">
        <f>K115*(Vehicle!$H$24)</f>
        <v>0</v>
      </c>
      <c r="Q115" s="54">
        <f>K115*(Vehicle!$H$25)</f>
        <v>0</v>
      </c>
      <c r="R115" s="54"/>
      <c r="S115" s="54">
        <f>K115*(Vehicle!$H$26)</f>
        <v>0</v>
      </c>
      <c r="T115" s="54"/>
      <c r="U115" s="54">
        <f t="shared" ref="U115:U126" si="90">(K115-SUM(M115:S115))*0.25</f>
        <v>0</v>
      </c>
    </row>
    <row r="116" spans="1:21">
      <c r="A116" s="7">
        <f t="shared" si="55"/>
        <v>108</v>
      </c>
      <c r="B116" s="54">
        <f t="shared" si="84"/>
        <v>-290</v>
      </c>
      <c r="C116" s="7">
        <v>1</v>
      </c>
      <c r="D116" s="63">
        <f>D115+LOOKUP(C116,Geometry!$J$29:$K$35)</f>
        <v>790</v>
      </c>
      <c r="E116" s="63">
        <f t="shared" si="85"/>
        <v>-290</v>
      </c>
      <c r="F116" s="12">
        <f>Geometry!$D$12*D116</f>
        <v>15.484000000000002</v>
      </c>
      <c r="G116" s="4">
        <f t="shared" si="86"/>
        <v>0</v>
      </c>
      <c r="H116" s="4">
        <f t="shared" si="87"/>
        <v>0</v>
      </c>
      <c r="I116" s="15">
        <f t="shared" si="88"/>
        <v>0</v>
      </c>
      <c r="J116" s="15">
        <f t="shared" si="89"/>
        <v>0</v>
      </c>
      <c r="K116" s="15">
        <f>J116*Geometry!$J$2</f>
        <v>0</v>
      </c>
      <c r="L116" s="15"/>
      <c r="M116" s="54">
        <f>K116*(Vehicle!$H$22*0.75)</f>
        <v>0</v>
      </c>
      <c r="N116" s="54">
        <f>K116*(Vehicle!$H$22*0.25)</f>
        <v>0</v>
      </c>
      <c r="O116" s="54">
        <f>K116*(Vehicle!$H$23)</f>
        <v>0</v>
      </c>
      <c r="P116" s="54">
        <f>K116*(Vehicle!$H$24)</f>
        <v>0</v>
      </c>
      <c r="Q116" s="54">
        <f>K116*(Vehicle!$H$25)</f>
        <v>0</v>
      </c>
      <c r="R116" s="54"/>
      <c r="S116" s="54">
        <f>K116*(Vehicle!$H$26)</f>
        <v>0</v>
      </c>
      <c r="T116" s="54"/>
      <c r="U116" s="54">
        <f t="shared" si="90"/>
        <v>0</v>
      </c>
    </row>
    <row r="117" spans="1:21">
      <c r="A117" s="7">
        <f t="shared" si="55"/>
        <v>109</v>
      </c>
      <c r="B117" s="54">
        <f t="shared" si="84"/>
        <v>-295</v>
      </c>
      <c r="C117" s="7">
        <v>1</v>
      </c>
      <c r="D117" s="63">
        <f>D116+LOOKUP(C117,Geometry!$J$29:$K$35)</f>
        <v>795</v>
      </c>
      <c r="E117" s="63">
        <f t="shared" si="85"/>
        <v>-295</v>
      </c>
      <c r="F117" s="12">
        <f>Geometry!$D$12*D117</f>
        <v>15.582000000000003</v>
      </c>
      <c r="G117" s="4">
        <f t="shared" si="86"/>
        <v>0</v>
      </c>
      <c r="H117" s="4">
        <f t="shared" si="87"/>
        <v>0</v>
      </c>
      <c r="I117" s="15">
        <f t="shared" si="88"/>
        <v>0</v>
      </c>
      <c r="J117" s="15">
        <f t="shared" si="89"/>
        <v>0</v>
      </c>
      <c r="K117" s="15">
        <f>J117*Geometry!$J$2</f>
        <v>0</v>
      </c>
      <c r="L117" s="15"/>
      <c r="M117" s="54">
        <f>K117*(Vehicle!$H$22*0.75)</f>
        <v>0</v>
      </c>
      <c r="N117" s="54">
        <f>K117*(Vehicle!$H$22*0.25)</f>
        <v>0</v>
      </c>
      <c r="O117" s="54">
        <f>K117*(Vehicle!$H$23)</f>
        <v>0</v>
      </c>
      <c r="P117" s="54">
        <f>K117*(Vehicle!$H$24)</f>
        <v>0</v>
      </c>
      <c r="Q117" s="54">
        <f>K117*(Vehicle!$H$25)</f>
        <v>0</v>
      </c>
      <c r="R117" s="54"/>
      <c r="S117" s="54">
        <f>K117*(Vehicle!$H$26)</f>
        <v>0</v>
      </c>
      <c r="T117" s="54"/>
      <c r="U117" s="54">
        <f t="shared" si="90"/>
        <v>0</v>
      </c>
    </row>
    <row r="118" spans="1:21">
      <c r="A118" s="7">
        <f t="shared" si="55"/>
        <v>110</v>
      </c>
      <c r="B118" s="54">
        <f t="shared" si="84"/>
        <v>-300</v>
      </c>
      <c r="C118" s="7">
        <v>1</v>
      </c>
      <c r="D118" s="63">
        <f>D117+LOOKUP(C118,Geometry!$J$29:$K$35)</f>
        <v>800</v>
      </c>
      <c r="E118" s="63">
        <f t="shared" si="85"/>
        <v>-300</v>
      </c>
      <c r="F118" s="12">
        <f>Geometry!$D$12*D118</f>
        <v>15.680000000000001</v>
      </c>
      <c r="G118" s="4">
        <f t="shared" si="86"/>
        <v>0</v>
      </c>
      <c r="H118" s="4">
        <f t="shared" si="87"/>
        <v>0</v>
      </c>
      <c r="I118" s="15">
        <f t="shared" si="88"/>
        <v>0</v>
      </c>
      <c r="J118" s="15">
        <f t="shared" si="89"/>
        <v>0</v>
      </c>
      <c r="K118" s="15">
        <f>J118*Geometry!$J$2</f>
        <v>0</v>
      </c>
      <c r="L118" s="15"/>
      <c r="M118" s="54">
        <f>K118*(Vehicle!$H$22*0.75)</f>
        <v>0</v>
      </c>
      <c r="N118" s="54">
        <f>K118*(Vehicle!$H$22*0.25)</f>
        <v>0</v>
      </c>
      <c r="O118" s="54">
        <f>K118*(Vehicle!$H$23)</f>
        <v>0</v>
      </c>
      <c r="P118" s="54">
        <f>K118*(Vehicle!$H$24)</f>
        <v>0</v>
      </c>
      <c r="Q118" s="54">
        <f>K118*(Vehicle!$H$25)</f>
        <v>0</v>
      </c>
      <c r="R118" s="54"/>
      <c r="S118" s="54">
        <f>K118*(Vehicle!$H$26)</f>
        <v>0</v>
      </c>
      <c r="T118" s="54"/>
      <c r="U118" s="54">
        <f t="shared" si="90"/>
        <v>0</v>
      </c>
    </row>
    <row r="119" spans="1:21">
      <c r="A119" s="7">
        <f t="shared" si="55"/>
        <v>111</v>
      </c>
      <c r="B119" s="54">
        <f t="shared" si="84"/>
        <v>-305</v>
      </c>
      <c r="C119" s="7">
        <v>1</v>
      </c>
      <c r="D119" s="63">
        <f>D118+LOOKUP(C119,Geometry!$J$29:$K$35)</f>
        <v>805</v>
      </c>
      <c r="E119" s="63">
        <f t="shared" si="85"/>
        <v>-305</v>
      </c>
      <c r="F119" s="12">
        <f>Geometry!$D$12*D119</f>
        <v>15.778000000000002</v>
      </c>
      <c r="G119" s="4">
        <f t="shared" si="86"/>
        <v>0</v>
      </c>
      <c r="H119" s="4">
        <f t="shared" si="87"/>
        <v>0</v>
      </c>
      <c r="I119" s="15">
        <f t="shared" si="88"/>
        <v>0</v>
      </c>
      <c r="J119" s="15">
        <f t="shared" si="89"/>
        <v>0</v>
      </c>
      <c r="K119" s="15">
        <f>J119*Geometry!$J$2</f>
        <v>0</v>
      </c>
      <c r="L119" s="15"/>
      <c r="M119" s="54">
        <f>K119*(Vehicle!$H$22*0.75)</f>
        <v>0</v>
      </c>
      <c r="N119" s="54">
        <f>K119*(Vehicle!$H$22*0.25)</f>
        <v>0</v>
      </c>
      <c r="O119" s="54">
        <f>K119*(Vehicle!$H$23)</f>
        <v>0</v>
      </c>
      <c r="P119" s="54">
        <f>K119*(Vehicle!$H$24)</f>
        <v>0</v>
      </c>
      <c r="Q119" s="54">
        <f>K119*(Vehicle!$H$25)</f>
        <v>0</v>
      </c>
      <c r="R119" s="54"/>
      <c r="S119" s="54">
        <f>K119*(Vehicle!$H$26)</f>
        <v>0</v>
      </c>
      <c r="T119" s="54"/>
      <c r="U119" s="54">
        <f t="shared" si="90"/>
        <v>0</v>
      </c>
    </row>
    <row r="120" spans="1:21">
      <c r="A120" s="7">
        <f t="shared" si="55"/>
        <v>112</v>
      </c>
      <c r="B120" s="54">
        <f t="shared" si="84"/>
        <v>-310</v>
      </c>
      <c r="C120" s="7">
        <v>1</v>
      </c>
      <c r="D120" s="63">
        <f>D119+LOOKUP(C120,Geometry!$J$29:$K$35)</f>
        <v>810</v>
      </c>
      <c r="E120" s="63">
        <f t="shared" si="85"/>
        <v>-310</v>
      </c>
      <c r="F120" s="12">
        <f>Geometry!$D$12*D120</f>
        <v>15.876000000000003</v>
      </c>
      <c r="G120" s="4">
        <f t="shared" si="86"/>
        <v>0</v>
      </c>
      <c r="H120" s="4">
        <f t="shared" si="87"/>
        <v>0</v>
      </c>
      <c r="I120" s="15">
        <f t="shared" si="88"/>
        <v>0</v>
      </c>
      <c r="J120" s="15">
        <f t="shared" si="89"/>
        <v>0</v>
      </c>
      <c r="K120" s="15">
        <f>J120*Geometry!$J$2</f>
        <v>0</v>
      </c>
      <c r="L120" s="15"/>
      <c r="M120" s="54">
        <f>K120*(Vehicle!$H$22*0.75)</f>
        <v>0</v>
      </c>
      <c r="N120" s="54">
        <f>K120*(Vehicle!$H$22*0.25)</f>
        <v>0</v>
      </c>
      <c r="O120" s="54">
        <f>K120*(Vehicle!$H$23)</f>
        <v>0</v>
      </c>
      <c r="P120" s="54">
        <f>K120*(Vehicle!$H$24)</f>
        <v>0</v>
      </c>
      <c r="Q120" s="54">
        <f>K120*(Vehicle!$H$25)</f>
        <v>0</v>
      </c>
      <c r="R120" s="54"/>
      <c r="S120" s="54">
        <f>K120*(Vehicle!$H$26)</f>
        <v>0</v>
      </c>
      <c r="T120" s="54"/>
      <c r="U120" s="54">
        <f t="shared" si="90"/>
        <v>0</v>
      </c>
    </row>
    <row r="121" spans="1:21">
      <c r="A121" s="7">
        <f t="shared" si="55"/>
        <v>113</v>
      </c>
      <c r="B121" s="54">
        <f t="shared" si="84"/>
        <v>-315</v>
      </c>
      <c r="C121" s="7">
        <v>1</v>
      </c>
      <c r="D121" s="63">
        <f>D120+LOOKUP(C121,Geometry!$J$29:$K$35)</f>
        <v>815</v>
      </c>
      <c r="E121" s="63">
        <f t="shared" si="85"/>
        <v>-315</v>
      </c>
      <c r="F121" s="12">
        <f>Geometry!$D$12*D121</f>
        <v>15.974000000000002</v>
      </c>
      <c r="G121" s="4">
        <f t="shared" si="86"/>
        <v>0</v>
      </c>
      <c r="H121" s="4">
        <f t="shared" si="87"/>
        <v>0</v>
      </c>
      <c r="I121" s="15">
        <f t="shared" si="88"/>
        <v>0</v>
      </c>
      <c r="J121" s="15">
        <f t="shared" si="89"/>
        <v>0</v>
      </c>
      <c r="K121" s="15">
        <f>J121*Geometry!$J$2</f>
        <v>0</v>
      </c>
      <c r="L121" s="15"/>
      <c r="M121" s="54">
        <f>K121*(Vehicle!$H$22*0.75)</f>
        <v>0</v>
      </c>
      <c r="N121" s="54">
        <f>K121*(Vehicle!$H$22*0.25)</f>
        <v>0</v>
      </c>
      <c r="O121" s="54">
        <f>K121*(Vehicle!$H$23)</f>
        <v>0</v>
      </c>
      <c r="P121" s="54">
        <f>K121*(Vehicle!$H$24)</f>
        <v>0</v>
      </c>
      <c r="Q121" s="54">
        <f>K121*(Vehicle!$H$25)</f>
        <v>0</v>
      </c>
      <c r="R121" s="54"/>
      <c r="S121" s="54">
        <f>K121*(Vehicle!$H$26)</f>
        <v>0</v>
      </c>
      <c r="T121" s="54"/>
      <c r="U121" s="54">
        <f t="shared" si="90"/>
        <v>0</v>
      </c>
    </row>
    <row r="122" spans="1:21">
      <c r="A122" s="7">
        <f t="shared" si="55"/>
        <v>114</v>
      </c>
      <c r="B122" s="54">
        <f t="shared" si="84"/>
        <v>-320</v>
      </c>
      <c r="C122" s="7">
        <v>1</v>
      </c>
      <c r="D122" s="63">
        <f>D121+LOOKUP(C122,Geometry!$J$29:$K$35)</f>
        <v>820</v>
      </c>
      <c r="E122" s="63">
        <f t="shared" si="85"/>
        <v>-320</v>
      </c>
      <c r="F122" s="12">
        <f>Geometry!$D$12*D122</f>
        <v>16.072000000000003</v>
      </c>
      <c r="G122" s="4">
        <f t="shared" si="86"/>
        <v>0</v>
      </c>
      <c r="H122" s="4">
        <f t="shared" si="87"/>
        <v>0</v>
      </c>
      <c r="I122" s="15">
        <f t="shared" si="88"/>
        <v>0</v>
      </c>
      <c r="J122" s="15">
        <f t="shared" si="89"/>
        <v>0</v>
      </c>
      <c r="K122" s="15">
        <f>J122*Geometry!$J$2</f>
        <v>0</v>
      </c>
      <c r="L122" s="15"/>
      <c r="M122" s="54">
        <f>K122*(Vehicle!$H$22*0.75)</f>
        <v>0</v>
      </c>
      <c r="N122" s="54">
        <f>K122*(Vehicle!$H$22*0.25)</f>
        <v>0</v>
      </c>
      <c r="O122" s="54">
        <f>K122*(Vehicle!$H$23)</f>
        <v>0</v>
      </c>
      <c r="P122" s="54">
        <f>K122*(Vehicle!$H$24)</f>
        <v>0</v>
      </c>
      <c r="Q122" s="54">
        <f>K122*(Vehicle!$H$25)</f>
        <v>0</v>
      </c>
      <c r="R122" s="54"/>
      <c r="S122" s="54">
        <f>K122*(Vehicle!$H$26)</f>
        <v>0</v>
      </c>
      <c r="T122" s="54"/>
      <c r="U122" s="54">
        <f t="shared" si="90"/>
        <v>0</v>
      </c>
    </row>
    <row r="123" spans="1:21">
      <c r="A123" s="7">
        <f t="shared" si="55"/>
        <v>115</v>
      </c>
      <c r="B123" s="54">
        <f t="shared" si="84"/>
        <v>-325</v>
      </c>
      <c r="C123" s="7">
        <v>1</v>
      </c>
      <c r="D123" s="63">
        <f>D122+LOOKUP(C123,Geometry!$J$29:$K$35)</f>
        <v>825</v>
      </c>
      <c r="E123" s="63">
        <f t="shared" si="85"/>
        <v>-325</v>
      </c>
      <c r="F123" s="12">
        <f>Geometry!$D$12*D123</f>
        <v>16.170000000000002</v>
      </c>
      <c r="G123" s="4">
        <f t="shared" si="86"/>
        <v>0</v>
      </c>
      <c r="H123" s="4">
        <f t="shared" si="87"/>
        <v>0</v>
      </c>
      <c r="I123" s="15">
        <f t="shared" si="88"/>
        <v>0</v>
      </c>
      <c r="J123" s="15">
        <f t="shared" si="89"/>
        <v>0</v>
      </c>
      <c r="K123" s="15">
        <f>J123*Geometry!$J$2</f>
        <v>0</v>
      </c>
      <c r="L123" s="15"/>
      <c r="M123" s="54">
        <f>K123*(Vehicle!$H$22*0.75)</f>
        <v>0</v>
      </c>
      <c r="N123" s="54">
        <f>K123*(Vehicle!$H$22*0.25)</f>
        <v>0</v>
      </c>
      <c r="O123" s="54">
        <f>K123*(Vehicle!$H$23)</f>
        <v>0</v>
      </c>
      <c r="P123" s="54">
        <f>K123*(Vehicle!$H$24)</f>
        <v>0</v>
      </c>
      <c r="Q123" s="54">
        <f>K123*(Vehicle!$H$25)</f>
        <v>0</v>
      </c>
      <c r="R123" s="54"/>
      <c r="S123" s="54">
        <f>K123*(Vehicle!$H$26)</f>
        <v>0</v>
      </c>
      <c r="T123" s="54"/>
      <c r="U123" s="54">
        <f t="shared" si="90"/>
        <v>0</v>
      </c>
    </row>
    <row r="124" spans="1:21">
      <c r="A124" s="7">
        <f t="shared" si="55"/>
        <v>116</v>
      </c>
      <c r="B124" s="54">
        <f t="shared" si="84"/>
        <v>-330</v>
      </c>
      <c r="C124" s="7">
        <v>1</v>
      </c>
      <c r="D124" s="63">
        <f>D123+LOOKUP(C124,Geometry!$J$29:$K$35)</f>
        <v>830</v>
      </c>
      <c r="E124" s="63">
        <f t="shared" si="85"/>
        <v>-330</v>
      </c>
      <c r="F124" s="12">
        <f>Geometry!$D$12*D124</f>
        <v>16.268000000000001</v>
      </c>
      <c r="G124" s="4">
        <f t="shared" si="86"/>
        <v>0</v>
      </c>
      <c r="H124" s="4">
        <f t="shared" si="87"/>
        <v>0</v>
      </c>
      <c r="I124" s="15">
        <f t="shared" si="88"/>
        <v>0</v>
      </c>
      <c r="J124" s="15">
        <f t="shared" si="89"/>
        <v>0</v>
      </c>
      <c r="K124" s="15">
        <f>J124*Geometry!$J$2</f>
        <v>0</v>
      </c>
      <c r="L124" s="15"/>
      <c r="M124" s="54">
        <f>K124*(Vehicle!$H$22*0.75)</f>
        <v>0</v>
      </c>
      <c r="N124" s="54">
        <f>K124*(Vehicle!$H$22*0.25)</f>
        <v>0</v>
      </c>
      <c r="O124" s="54">
        <f>K124*(Vehicle!$H$23)</f>
        <v>0</v>
      </c>
      <c r="P124" s="54">
        <f>K124*(Vehicle!$H$24)</f>
        <v>0</v>
      </c>
      <c r="Q124" s="54">
        <f>K124*(Vehicle!$H$25)</f>
        <v>0</v>
      </c>
      <c r="R124" s="54"/>
      <c r="S124" s="54">
        <f>K124*(Vehicle!$H$26)</f>
        <v>0</v>
      </c>
      <c r="T124" s="54"/>
      <c r="U124" s="54">
        <f t="shared" si="90"/>
        <v>0</v>
      </c>
    </row>
    <row r="125" spans="1:21">
      <c r="A125" s="7">
        <f t="shared" si="55"/>
        <v>117</v>
      </c>
      <c r="B125" s="54">
        <f t="shared" si="84"/>
        <v>-335</v>
      </c>
      <c r="C125" s="7">
        <v>1</v>
      </c>
      <c r="D125" s="63">
        <f>D124+LOOKUP(C125,Geometry!$J$29:$K$35)</f>
        <v>835</v>
      </c>
      <c r="E125" s="63">
        <f t="shared" si="85"/>
        <v>-335</v>
      </c>
      <c r="F125" s="12">
        <f>Geometry!$D$12*D125</f>
        <v>16.366000000000003</v>
      </c>
      <c r="G125" s="4">
        <f t="shared" si="86"/>
        <v>0</v>
      </c>
      <c r="H125" s="4">
        <f t="shared" si="87"/>
        <v>0</v>
      </c>
      <c r="I125" s="15">
        <f t="shared" si="88"/>
        <v>0</v>
      </c>
      <c r="J125" s="15">
        <f t="shared" si="89"/>
        <v>0</v>
      </c>
      <c r="K125" s="15">
        <f>J125*Geometry!$J$2</f>
        <v>0</v>
      </c>
      <c r="L125" s="15"/>
      <c r="M125" s="54">
        <f>K125*(Vehicle!$H$22*0.75)</f>
        <v>0</v>
      </c>
      <c r="N125" s="54">
        <f>K125*(Vehicle!$H$22*0.25)</f>
        <v>0</v>
      </c>
      <c r="O125" s="54">
        <f>K125*(Vehicle!$H$23)</f>
        <v>0</v>
      </c>
      <c r="P125" s="54">
        <f>K125*(Vehicle!$H$24)</f>
        <v>0</v>
      </c>
      <c r="Q125" s="54">
        <f>K125*(Vehicle!$H$25)</f>
        <v>0</v>
      </c>
      <c r="R125" s="54"/>
      <c r="S125" s="54">
        <f>K125*(Vehicle!$H$26)</f>
        <v>0</v>
      </c>
      <c r="T125" s="54"/>
      <c r="U125" s="54">
        <f t="shared" si="90"/>
        <v>0</v>
      </c>
    </row>
    <row r="126" spans="1:21">
      <c r="A126" s="7">
        <f t="shared" si="55"/>
        <v>118</v>
      </c>
      <c r="B126" s="54">
        <f t="shared" si="84"/>
        <v>-340</v>
      </c>
      <c r="C126" s="7">
        <v>1</v>
      </c>
      <c r="D126" s="63">
        <f>D125+LOOKUP(C126,Geometry!$J$29:$K$35)</f>
        <v>840</v>
      </c>
      <c r="E126" s="63">
        <f t="shared" si="85"/>
        <v>-340</v>
      </c>
      <c r="F126" s="12">
        <f>Geometry!$D$12*D126</f>
        <v>16.464000000000002</v>
      </c>
      <c r="G126" s="4">
        <f t="shared" si="86"/>
        <v>0</v>
      </c>
      <c r="H126" s="4">
        <f t="shared" si="87"/>
        <v>0</v>
      </c>
      <c r="I126" s="15">
        <f t="shared" si="88"/>
        <v>0</v>
      </c>
      <c r="J126" s="15">
        <f t="shared" si="89"/>
        <v>0</v>
      </c>
      <c r="K126" s="15">
        <f>J126*Geometry!$J$2</f>
        <v>0</v>
      </c>
      <c r="L126" s="15"/>
      <c r="M126" s="54">
        <f>K126*(Vehicle!$H$22*0.75)</f>
        <v>0</v>
      </c>
      <c r="N126" s="54">
        <f>K126*(Vehicle!$H$22*0.25)</f>
        <v>0</v>
      </c>
      <c r="O126" s="54">
        <f>K126*(Vehicle!$H$23)</f>
        <v>0</v>
      </c>
      <c r="P126" s="54">
        <f>K126*(Vehicle!$H$24)</f>
        <v>0</v>
      </c>
      <c r="Q126" s="54">
        <f>K126*(Vehicle!$H$25)</f>
        <v>0</v>
      </c>
      <c r="R126" s="54"/>
      <c r="S126" s="54">
        <f>K126*(Vehicle!$H$26)</f>
        <v>0</v>
      </c>
      <c r="T126" s="54"/>
      <c r="U126" s="54">
        <f t="shared" si="90"/>
        <v>0</v>
      </c>
    </row>
    <row r="127" spans="1:21">
      <c r="A127" s="7">
        <f t="shared" si="55"/>
        <v>119</v>
      </c>
      <c r="B127" s="54">
        <f t="shared" ref="B127:B138" si="91">B126-(D127-D126)</f>
        <v>-345</v>
      </c>
      <c r="C127" s="7">
        <v>1</v>
      </c>
      <c r="D127" s="63">
        <f>D126+LOOKUP(C127,Geometry!$J$29:$K$35)</f>
        <v>845</v>
      </c>
      <c r="E127" s="63">
        <f t="shared" ref="E127:E138" si="92">E126-(D127-D126)</f>
        <v>-345</v>
      </c>
      <c r="F127" s="12">
        <f>Geometry!$D$12*D127</f>
        <v>16.562000000000001</v>
      </c>
      <c r="G127" s="4">
        <f t="shared" ref="G127:G138" si="93">IF(H127&gt;0,F127/9.8,0)</f>
        <v>0</v>
      </c>
      <c r="H127" s="4">
        <f t="shared" ref="H127:H138" si="94">IF(D127&lt;=$F$5,1,0)</f>
        <v>0</v>
      </c>
      <c r="I127" s="15">
        <f t="shared" ref="I127:I138" si="95">IF(D127&lt;=$F$5,D127*2*PI()*$C$2*H127,0)</f>
        <v>0</v>
      </c>
      <c r="J127" s="15">
        <f t="shared" ref="J127:J138" si="96">FLOOR(I127/$J$1,1)</f>
        <v>0</v>
      </c>
      <c r="K127" s="15">
        <f>J127*Geometry!$J$2</f>
        <v>0</v>
      </c>
      <c r="L127" s="15"/>
      <c r="M127" s="54">
        <f>K127*(Vehicle!$H$22*0.75)</f>
        <v>0</v>
      </c>
      <c r="N127" s="54">
        <f>K127*(Vehicle!$H$22*0.25)</f>
        <v>0</v>
      </c>
      <c r="O127" s="54">
        <f>K127*(Vehicle!$H$23)</f>
        <v>0</v>
      </c>
      <c r="P127" s="54">
        <f>K127*(Vehicle!$H$24)</f>
        <v>0</v>
      </c>
      <c r="Q127" s="54">
        <f>K127*(Vehicle!$H$25)</f>
        <v>0</v>
      </c>
      <c r="R127" s="54"/>
      <c r="S127" s="54">
        <f>K127*(Vehicle!$H$26)</f>
        <v>0</v>
      </c>
      <c r="T127" s="54"/>
      <c r="U127" s="54">
        <f t="shared" ref="U127:U138" si="97">(K127-SUM(M127:S127))*0.25</f>
        <v>0</v>
      </c>
    </row>
    <row r="128" spans="1:21">
      <c r="A128" s="7">
        <f t="shared" si="55"/>
        <v>120</v>
      </c>
      <c r="B128" s="54">
        <f t="shared" si="91"/>
        <v>-350</v>
      </c>
      <c r="C128" s="7">
        <v>1</v>
      </c>
      <c r="D128" s="63">
        <f>D127+LOOKUP(C128,Geometry!$J$29:$K$35)</f>
        <v>850</v>
      </c>
      <c r="E128" s="63">
        <f t="shared" si="92"/>
        <v>-350</v>
      </c>
      <c r="F128" s="12">
        <f>Geometry!$D$12*D128</f>
        <v>16.660000000000004</v>
      </c>
      <c r="G128" s="4">
        <f t="shared" si="93"/>
        <v>0</v>
      </c>
      <c r="H128" s="4">
        <f t="shared" si="94"/>
        <v>0</v>
      </c>
      <c r="I128" s="15">
        <f t="shared" si="95"/>
        <v>0</v>
      </c>
      <c r="J128" s="15">
        <f t="shared" si="96"/>
        <v>0</v>
      </c>
      <c r="K128" s="15">
        <f>J128*Geometry!$J$2</f>
        <v>0</v>
      </c>
      <c r="L128" s="15"/>
      <c r="M128" s="54">
        <f>K128*(Vehicle!$H$22*0.75)</f>
        <v>0</v>
      </c>
      <c r="N128" s="54">
        <f>K128*(Vehicle!$H$22*0.25)</f>
        <v>0</v>
      </c>
      <c r="O128" s="54">
        <f>K128*(Vehicle!$H$23)</f>
        <v>0</v>
      </c>
      <c r="P128" s="54">
        <f>K128*(Vehicle!$H$24)</f>
        <v>0</v>
      </c>
      <c r="Q128" s="54">
        <f>K128*(Vehicle!$H$25)</f>
        <v>0</v>
      </c>
      <c r="R128" s="54"/>
      <c r="S128" s="54">
        <f>K128*(Vehicle!$H$26)</f>
        <v>0</v>
      </c>
      <c r="T128" s="54"/>
      <c r="U128" s="54">
        <f t="shared" si="97"/>
        <v>0</v>
      </c>
    </row>
    <row r="129" spans="1:21">
      <c r="A129" s="7">
        <f t="shared" si="55"/>
        <v>121</v>
      </c>
      <c r="B129" s="54">
        <f t="shared" si="91"/>
        <v>-355</v>
      </c>
      <c r="C129" s="7">
        <v>1</v>
      </c>
      <c r="D129" s="63">
        <f>D128+LOOKUP(C129,Geometry!$J$29:$K$35)</f>
        <v>855</v>
      </c>
      <c r="E129" s="63">
        <f t="shared" si="92"/>
        <v>-355</v>
      </c>
      <c r="F129" s="12">
        <f>Geometry!$D$12*D129</f>
        <v>16.758000000000003</v>
      </c>
      <c r="G129" s="4">
        <f t="shared" si="93"/>
        <v>0</v>
      </c>
      <c r="H129" s="4">
        <f t="shared" si="94"/>
        <v>0</v>
      </c>
      <c r="I129" s="15">
        <f t="shared" si="95"/>
        <v>0</v>
      </c>
      <c r="J129" s="15">
        <f t="shared" si="96"/>
        <v>0</v>
      </c>
      <c r="K129" s="15">
        <f>J129*Geometry!$J$2</f>
        <v>0</v>
      </c>
      <c r="L129" s="15"/>
      <c r="M129" s="54">
        <f>K129*(Vehicle!$H$22*0.75)</f>
        <v>0</v>
      </c>
      <c r="N129" s="54">
        <f>K129*(Vehicle!$H$22*0.25)</f>
        <v>0</v>
      </c>
      <c r="O129" s="54">
        <f>K129*(Vehicle!$H$23)</f>
        <v>0</v>
      </c>
      <c r="P129" s="54">
        <f>K129*(Vehicle!$H$24)</f>
        <v>0</v>
      </c>
      <c r="Q129" s="54">
        <f>K129*(Vehicle!$H$25)</f>
        <v>0</v>
      </c>
      <c r="R129" s="54"/>
      <c r="S129" s="54">
        <f>K129*(Vehicle!$H$26)</f>
        <v>0</v>
      </c>
      <c r="T129" s="54"/>
      <c r="U129" s="54">
        <f t="shared" si="97"/>
        <v>0</v>
      </c>
    </row>
    <row r="130" spans="1:21">
      <c r="A130" s="7">
        <f t="shared" si="55"/>
        <v>122</v>
      </c>
      <c r="B130" s="54">
        <f t="shared" si="91"/>
        <v>-360</v>
      </c>
      <c r="C130" s="7">
        <v>1</v>
      </c>
      <c r="D130" s="63">
        <f>D129+LOOKUP(C130,Geometry!$J$29:$K$35)</f>
        <v>860</v>
      </c>
      <c r="E130" s="63">
        <f t="shared" si="92"/>
        <v>-360</v>
      </c>
      <c r="F130" s="12">
        <f>Geometry!$D$12*D130</f>
        <v>16.856000000000002</v>
      </c>
      <c r="G130" s="4">
        <f t="shared" si="93"/>
        <v>0</v>
      </c>
      <c r="H130" s="4">
        <f t="shared" si="94"/>
        <v>0</v>
      </c>
      <c r="I130" s="15">
        <f t="shared" si="95"/>
        <v>0</v>
      </c>
      <c r="J130" s="15">
        <f t="shared" si="96"/>
        <v>0</v>
      </c>
      <c r="K130" s="15">
        <f>J130*Geometry!$J$2</f>
        <v>0</v>
      </c>
      <c r="L130" s="15"/>
      <c r="M130" s="54">
        <f>K130*(Vehicle!$H$22*0.75)</f>
        <v>0</v>
      </c>
      <c r="N130" s="54">
        <f>K130*(Vehicle!$H$22*0.25)</f>
        <v>0</v>
      </c>
      <c r="O130" s="54">
        <f>K130*(Vehicle!$H$23)</f>
        <v>0</v>
      </c>
      <c r="P130" s="54">
        <f>K130*(Vehicle!$H$24)</f>
        <v>0</v>
      </c>
      <c r="Q130" s="54">
        <f>K130*(Vehicle!$H$25)</f>
        <v>0</v>
      </c>
      <c r="R130" s="54"/>
      <c r="S130" s="54">
        <f>K130*(Vehicle!$H$26)</f>
        <v>0</v>
      </c>
      <c r="T130" s="54"/>
      <c r="U130" s="54">
        <f t="shared" si="97"/>
        <v>0</v>
      </c>
    </row>
    <row r="131" spans="1:21">
      <c r="A131" s="7">
        <f t="shared" si="55"/>
        <v>123</v>
      </c>
      <c r="B131" s="54">
        <f t="shared" si="91"/>
        <v>-365</v>
      </c>
      <c r="C131" s="7">
        <v>1</v>
      </c>
      <c r="D131" s="63">
        <f>D130+LOOKUP(C131,Geometry!$J$29:$K$35)</f>
        <v>865</v>
      </c>
      <c r="E131" s="63">
        <f t="shared" si="92"/>
        <v>-365</v>
      </c>
      <c r="F131" s="12">
        <f>Geometry!$D$12*D131</f>
        <v>16.954000000000004</v>
      </c>
      <c r="G131" s="4">
        <f t="shared" si="93"/>
        <v>0</v>
      </c>
      <c r="H131" s="4">
        <f t="shared" si="94"/>
        <v>0</v>
      </c>
      <c r="I131" s="15">
        <f t="shared" si="95"/>
        <v>0</v>
      </c>
      <c r="J131" s="15">
        <f t="shared" si="96"/>
        <v>0</v>
      </c>
      <c r="K131" s="15">
        <f>J131*Geometry!$J$2</f>
        <v>0</v>
      </c>
      <c r="L131" s="15"/>
      <c r="M131" s="54">
        <f>K131*(Vehicle!$H$22*0.75)</f>
        <v>0</v>
      </c>
      <c r="N131" s="54">
        <f>K131*(Vehicle!$H$22*0.25)</f>
        <v>0</v>
      </c>
      <c r="O131" s="54">
        <f>K131*(Vehicle!$H$23)</f>
        <v>0</v>
      </c>
      <c r="P131" s="54">
        <f>K131*(Vehicle!$H$24)</f>
        <v>0</v>
      </c>
      <c r="Q131" s="54">
        <f>K131*(Vehicle!$H$25)</f>
        <v>0</v>
      </c>
      <c r="R131" s="54"/>
      <c r="S131" s="54">
        <f>K131*(Vehicle!$H$26)</f>
        <v>0</v>
      </c>
      <c r="T131" s="54"/>
      <c r="U131" s="54">
        <f t="shared" si="97"/>
        <v>0</v>
      </c>
    </row>
    <row r="132" spans="1:21">
      <c r="A132" s="7">
        <f t="shared" si="55"/>
        <v>124</v>
      </c>
      <c r="B132" s="54">
        <f t="shared" si="91"/>
        <v>-370</v>
      </c>
      <c r="C132" s="7">
        <v>1</v>
      </c>
      <c r="D132" s="63">
        <f>D131+LOOKUP(C132,Geometry!$J$29:$K$35)</f>
        <v>870</v>
      </c>
      <c r="E132" s="63">
        <f t="shared" si="92"/>
        <v>-370</v>
      </c>
      <c r="F132" s="12">
        <f>Geometry!$D$12*D132</f>
        <v>17.052000000000003</v>
      </c>
      <c r="G132" s="4">
        <f t="shared" si="93"/>
        <v>0</v>
      </c>
      <c r="H132" s="4">
        <f t="shared" si="94"/>
        <v>0</v>
      </c>
      <c r="I132" s="15">
        <f t="shared" si="95"/>
        <v>0</v>
      </c>
      <c r="J132" s="15">
        <f t="shared" si="96"/>
        <v>0</v>
      </c>
      <c r="K132" s="15">
        <f>J132*Geometry!$J$2</f>
        <v>0</v>
      </c>
      <c r="L132" s="15"/>
      <c r="M132" s="54">
        <f>K132*(Vehicle!$H$22*0.75)</f>
        <v>0</v>
      </c>
      <c r="N132" s="54">
        <f>K132*(Vehicle!$H$22*0.25)</f>
        <v>0</v>
      </c>
      <c r="O132" s="54">
        <f>K132*(Vehicle!$H$23)</f>
        <v>0</v>
      </c>
      <c r="P132" s="54">
        <f>K132*(Vehicle!$H$24)</f>
        <v>0</v>
      </c>
      <c r="Q132" s="54">
        <f>K132*(Vehicle!$H$25)</f>
        <v>0</v>
      </c>
      <c r="R132" s="54"/>
      <c r="S132" s="54">
        <f>K132*(Vehicle!$H$26)</f>
        <v>0</v>
      </c>
      <c r="T132" s="54"/>
      <c r="U132" s="54">
        <f t="shared" si="97"/>
        <v>0</v>
      </c>
    </row>
    <row r="133" spans="1:21">
      <c r="A133" s="7">
        <f t="shared" si="55"/>
        <v>125</v>
      </c>
      <c r="B133" s="54">
        <f t="shared" si="91"/>
        <v>-375</v>
      </c>
      <c r="C133" s="7">
        <v>1</v>
      </c>
      <c r="D133" s="63">
        <f>D132+LOOKUP(C133,Geometry!$J$29:$K$35)</f>
        <v>875</v>
      </c>
      <c r="E133" s="63">
        <f t="shared" si="92"/>
        <v>-375</v>
      </c>
      <c r="F133" s="12">
        <f>Geometry!$D$12*D133</f>
        <v>17.150000000000002</v>
      </c>
      <c r="G133" s="4">
        <f t="shared" si="93"/>
        <v>0</v>
      </c>
      <c r="H133" s="4">
        <f t="shared" si="94"/>
        <v>0</v>
      </c>
      <c r="I133" s="15">
        <f t="shared" si="95"/>
        <v>0</v>
      </c>
      <c r="J133" s="15">
        <f t="shared" si="96"/>
        <v>0</v>
      </c>
      <c r="K133" s="15">
        <f>J133*Geometry!$J$2</f>
        <v>0</v>
      </c>
      <c r="L133" s="15"/>
      <c r="M133" s="54">
        <f>K133*(Vehicle!$H$22*0.75)</f>
        <v>0</v>
      </c>
      <c r="N133" s="54">
        <f>K133*(Vehicle!$H$22*0.25)</f>
        <v>0</v>
      </c>
      <c r="O133" s="54">
        <f>K133*(Vehicle!$H$23)</f>
        <v>0</v>
      </c>
      <c r="P133" s="54">
        <f>K133*(Vehicle!$H$24)</f>
        <v>0</v>
      </c>
      <c r="Q133" s="54">
        <f>K133*(Vehicle!$H$25)</f>
        <v>0</v>
      </c>
      <c r="R133" s="54"/>
      <c r="S133" s="54">
        <f>K133*(Vehicle!$H$26)</f>
        <v>0</v>
      </c>
      <c r="T133" s="54"/>
      <c r="U133" s="54">
        <f t="shared" si="97"/>
        <v>0</v>
      </c>
    </row>
    <row r="134" spans="1:21">
      <c r="A134" s="7">
        <f t="shared" si="55"/>
        <v>126</v>
      </c>
      <c r="B134" s="54">
        <f t="shared" si="91"/>
        <v>-380</v>
      </c>
      <c r="C134" s="7">
        <v>1</v>
      </c>
      <c r="D134" s="63">
        <f>D133+LOOKUP(C134,Geometry!$J$29:$K$35)</f>
        <v>880</v>
      </c>
      <c r="E134" s="63">
        <f t="shared" si="92"/>
        <v>-380</v>
      </c>
      <c r="F134" s="12">
        <f>Geometry!$D$12*D134</f>
        <v>17.248000000000001</v>
      </c>
      <c r="G134" s="4">
        <f t="shared" si="93"/>
        <v>0</v>
      </c>
      <c r="H134" s="4">
        <f t="shared" si="94"/>
        <v>0</v>
      </c>
      <c r="I134" s="15">
        <f t="shared" si="95"/>
        <v>0</v>
      </c>
      <c r="J134" s="15">
        <f t="shared" si="96"/>
        <v>0</v>
      </c>
      <c r="K134" s="15">
        <f>J134*Geometry!$J$2</f>
        <v>0</v>
      </c>
      <c r="L134" s="15"/>
      <c r="M134" s="54">
        <f>K134*(Vehicle!$H$22*0.75)</f>
        <v>0</v>
      </c>
      <c r="N134" s="54">
        <f>K134*(Vehicle!$H$22*0.25)</f>
        <v>0</v>
      </c>
      <c r="O134" s="54">
        <f>K134*(Vehicle!$H$23)</f>
        <v>0</v>
      </c>
      <c r="P134" s="54">
        <f>K134*(Vehicle!$H$24)</f>
        <v>0</v>
      </c>
      <c r="Q134" s="54">
        <f>K134*(Vehicle!$H$25)</f>
        <v>0</v>
      </c>
      <c r="R134" s="54"/>
      <c r="S134" s="54">
        <f>K134*(Vehicle!$H$26)</f>
        <v>0</v>
      </c>
      <c r="T134" s="54"/>
      <c r="U134" s="54">
        <f t="shared" si="97"/>
        <v>0</v>
      </c>
    </row>
    <row r="135" spans="1:21">
      <c r="A135" s="7">
        <f t="shared" si="55"/>
        <v>127</v>
      </c>
      <c r="B135" s="54">
        <f t="shared" si="91"/>
        <v>-385</v>
      </c>
      <c r="C135" s="7">
        <v>1</v>
      </c>
      <c r="D135" s="63">
        <f>D134+LOOKUP(C135,Geometry!$J$29:$K$35)</f>
        <v>885</v>
      </c>
      <c r="E135" s="63">
        <f t="shared" si="92"/>
        <v>-385</v>
      </c>
      <c r="F135" s="12">
        <f>Geometry!$D$12*D135</f>
        <v>17.346000000000004</v>
      </c>
      <c r="G135" s="4">
        <f t="shared" si="93"/>
        <v>0</v>
      </c>
      <c r="H135" s="4">
        <f t="shared" si="94"/>
        <v>0</v>
      </c>
      <c r="I135" s="15">
        <f t="shared" si="95"/>
        <v>0</v>
      </c>
      <c r="J135" s="15">
        <f t="shared" si="96"/>
        <v>0</v>
      </c>
      <c r="K135" s="15">
        <f>J135*Geometry!$J$2</f>
        <v>0</v>
      </c>
      <c r="L135" s="15"/>
      <c r="M135" s="54">
        <f>K135*(Vehicle!$H$22*0.75)</f>
        <v>0</v>
      </c>
      <c r="N135" s="54">
        <f>K135*(Vehicle!$H$22*0.25)</f>
        <v>0</v>
      </c>
      <c r="O135" s="54">
        <f>K135*(Vehicle!$H$23)</f>
        <v>0</v>
      </c>
      <c r="P135" s="54">
        <f>K135*(Vehicle!$H$24)</f>
        <v>0</v>
      </c>
      <c r="Q135" s="54">
        <f>K135*(Vehicle!$H$25)</f>
        <v>0</v>
      </c>
      <c r="R135" s="54"/>
      <c r="S135" s="54">
        <f>K135*(Vehicle!$H$26)</f>
        <v>0</v>
      </c>
      <c r="T135" s="54"/>
      <c r="U135" s="54">
        <f t="shared" si="97"/>
        <v>0</v>
      </c>
    </row>
    <row r="136" spans="1:21">
      <c r="A136" s="7">
        <f t="shared" si="55"/>
        <v>128</v>
      </c>
      <c r="B136" s="54">
        <f t="shared" si="91"/>
        <v>-390</v>
      </c>
      <c r="C136" s="7">
        <v>1</v>
      </c>
      <c r="D136" s="63">
        <f>D135+LOOKUP(C136,Geometry!$J$29:$K$35)</f>
        <v>890</v>
      </c>
      <c r="E136" s="63">
        <f t="shared" si="92"/>
        <v>-390</v>
      </c>
      <c r="F136" s="12">
        <f>Geometry!$D$12*D136</f>
        <v>17.444000000000003</v>
      </c>
      <c r="G136" s="4">
        <f t="shared" si="93"/>
        <v>0</v>
      </c>
      <c r="H136" s="4">
        <f t="shared" si="94"/>
        <v>0</v>
      </c>
      <c r="I136" s="15">
        <f t="shared" si="95"/>
        <v>0</v>
      </c>
      <c r="J136" s="15">
        <f t="shared" si="96"/>
        <v>0</v>
      </c>
      <c r="K136" s="15">
        <f>J136*Geometry!$J$2</f>
        <v>0</v>
      </c>
      <c r="L136" s="15"/>
      <c r="M136" s="54">
        <f>K136*(Vehicle!$H$22*0.75)</f>
        <v>0</v>
      </c>
      <c r="N136" s="54">
        <f>K136*(Vehicle!$H$22*0.25)</f>
        <v>0</v>
      </c>
      <c r="O136" s="54">
        <f>K136*(Vehicle!$H$23)</f>
        <v>0</v>
      </c>
      <c r="P136" s="54">
        <f>K136*(Vehicle!$H$24)</f>
        <v>0</v>
      </c>
      <c r="Q136" s="54">
        <f>K136*(Vehicle!$H$25)</f>
        <v>0</v>
      </c>
      <c r="R136" s="54"/>
      <c r="S136" s="54">
        <f>K136*(Vehicle!$H$26)</f>
        <v>0</v>
      </c>
      <c r="T136" s="54"/>
      <c r="U136" s="54">
        <f t="shared" si="97"/>
        <v>0</v>
      </c>
    </row>
    <row r="137" spans="1:21">
      <c r="A137" s="7">
        <f t="shared" si="55"/>
        <v>129</v>
      </c>
      <c r="B137" s="54">
        <f t="shared" si="91"/>
        <v>-395</v>
      </c>
      <c r="C137" s="7">
        <v>1</v>
      </c>
      <c r="D137" s="63">
        <f>D136+LOOKUP(C137,Geometry!$J$29:$K$35)</f>
        <v>895</v>
      </c>
      <c r="E137" s="63">
        <f t="shared" si="92"/>
        <v>-395</v>
      </c>
      <c r="F137" s="12">
        <f>Geometry!$D$12*D137</f>
        <v>17.542000000000002</v>
      </c>
      <c r="G137" s="4">
        <f t="shared" si="93"/>
        <v>0</v>
      </c>
      <c r="H137" s="4">
        <f t="shared" si="94"/>
        <v>0</v>
      </c>
      <c r="I137" s="15">
        <f t="shared" si="95"/>
        <v>0</v>
      </c>
      <c r="J137" s="15">
        <f t="shared" si="96"/>
        <v>0</v>
      </c>
      <c r="K137" s="15">
        <f>J137*Geometry!$J$2</f>
        <v>0</v>
      </c>
      <c r="L137" s="15"/>
      <c r="M137" s="54">
        <f>K137*(Vehicle!$H$22*0.75)</f>
        <v>0</v>
      </c>
      <c r="N137" s="54">
        <f>K137*(Vehicle!$H$22*0.25)</f>
        <v>0</v>
      </c>
      <c r="O137" s="54">
        <f>K137*(Vehicle!$H$23)</f>
        <v>0</v>
      </c>
      <c r="P137" s="54">
        <f>K137*(Vehicle!$H$24)</f>
        <v>0</v>
      </c>
      <c r="Q137" s="54">
        <f>K137*(Vehicle!$H$25)</f>
        <v>0</v>
      </c>
      <c r="R137" s="54"/>
      <c r="S137" s="54">
        <f>K137*(Vehicle!$H$26)</f>
        <v>0</v>
      </c>
      <c r="T137" s="54"/>
      <c r="U137" s="54">
        <f t="shared" si="97"/>
        <v>0</v>
      </c>
    </row>
    <row r="138" spans="1:21">
      <c r="A138" s="7">
        <f t="shared" ref="A138" si="98">A137+1</f>
        <v>130</v>
      </c>
      <c r="B138" s="54">
        <f t="shared" si="91"/>
        <v>-400</v>
      </c>
      <c r="C138" s="7">
        <v>1</v>
      </c>
      <c r="D138" s="63">
        <f>D137+LOOKUP(C138,Geometry!$J$29:$K$35)</f>
        <v>900</v>
      </c>
      <c r="E138" s="63">
        <f t="shared" si="92"/>
        <v>-400</v>
      </c>
      <c r="F138" s="12">
        <f>Geometry!$D$12*D138</f>
        <v>17.640000000000004</v>
      </c>
      <c r="G138" s="4">
        <f t="shared" si="93"/>
        <v>0</v>
      </c>
      <c r="H138" s="4">
        <f t="shared" si="94"/>
        <v>0</v>
      </c>
      <c r="I138" s="15">
        <f t="shared" si="95"/>
        <v>0</v>
      </c>
      <c r="J138" s="15">
        <f t="shared" si="96"/>
        <v>0</v>
      </c>
      <c r="K138" s="15">
        <f>J138*Geometry!$J$2</f>
        <v>0</v>
      </c>
      <c r="L138" s="15"/>
      <c r="M138" s="54">
        <f>K138*(Vehicle!$H$22*0.75)</f>
        <v>0</v>
      </c>
      <c r="N138" s="54">
        <f>K138*(Vehicle!$H$22*0.25)</f>
        <v>0</v>
      </c>
      <c r="O138" s="54">
        <f>K138*(Vehicle!$H$23)</f>
        <v>0</v>
      </c>
      <c r="P138" s="54">
        <f>K138*(Vehicle!$H$24)</f>
        <v>0</v>
      </c>
      <c r="Q138" s="54">
        <f>K138*(Vehicle!$H$25)</f>
        <v>0</v>
      </c>
      <c r="R138" s="54"/>
      <c r="S138" s="54">
        <f>K138*(Vehicle!$H$26)</f>
        <v>0</v>
      </c>
      <c r="T138" s="54"/>
      <c r="U138" s="54">
        <f t="shared" si="97"/>
        <v>0</v>
      </c>
    </row>
  </sheetData>
  <autoFilter ref="A7:V16" xr:uid="{CCCABA75-5BBE-CE43-B9F7-17EC3F665401}"/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3CF4E-982B-F64A-90C0-F8C4D2081E9D}">
  <dimension ref="A1:J59"/>
  <sheetViews>
    <sheetView workbookViewId="0">
      <selection activeCell="C7" sqref="C7"/>
    </sheetView>
  </sheetViews>
  <sheetFormatPr baseColWidth="10" defaultRowHeight="16"/>
  <cols>
    <col min="1" max="1" width="16.5" customWidth="1"/>
    <col min="3" max="3" width="28" customWidth="1"/>
    <col min="5" max="5" width="49.1640625" customWidth="1"/>
    <col min="6" max="6" width="11.6640625" bestFit="1" customWidth="1"/>
  </cols>
  <sheetData>
    <row r="1" spans="1:10">
      <c r="A1" t="s">
        <v>138</v>
      </c>
      <c r="C1">
        <f>Vehicle!B1</f>
        <v>2000</v>
      </c>
      <c r="J1" s="3"/>
    </row>
    <row r="2" spans="1:10" ht="18">
      <c r="A2" t="s">
        <v>814</v>
      </c>
      <c r="C2" s="3">
        <v>0</v>
      </c>
      <c r="D2" t="s">
        <v>3</v>
      </c>
      <c r="I2" s="103"/>
    </row>
    <row r="3" spans="1:10">
      <c r="A3" t="s">
        <v>814</v>
      </c>
      <c r="C3" s="4">
        <v>0</v>
      </c>
      <c r="D3" t="s">
        <v>4</v>
      </c>
      <c r="H3" s="3"/>
      <c r="I3" s="3"/>
    </row>
    <row r="4" spans="1:10">
      <c r="A4" t="s">
        <v>145</v>
      </c>
      <c r="C4" s="3">
        <f>C7*3600*24*365.26</f>
        <v>420769000.51199996</v>
      </c>
      <c r="D4" t="s">
        <v>3</v>
      </c>
    </row>
    <row r="5" spans="1:10">
      <c r="A5" t="s">
        <v>145</v>
      </c>
      <c r="C5" s="3">
        <f>C4/3600/24</f>
        <v>4870.0115799999994</v>
      </c>
      <c r="D5" t="s">
        <v>460</v>
      </c>
    </row>
    <row r="6" spans="1:10">
      <c r="A6" t="s">
        <v>145</v>
      </c>
      <c r="C6" s="4">
        <v>10</v>
      </c>
      <c r="D6" t="s">
        <v>4</v>
      </c>
    </row>
    <row r="7" spans="1:10">
      <c r="A7" t="s">
        <v>148</v>
      </c>
      <c r="C7" s="4">
        <f>C6*1.3333</f>
        <v>13.332999999999998</v>
      </c>
      <c r="D7" t="s">
        <v>4</v>
      </c>
    </row>
    <row r="8" spans="1:10">
      <c r="A8" t="s">
        <v>178</v>
      </c>
      <c r="C8" s="4">
        <f>5*10000000</f>
        <v>50000000</v>
      </c>
      <c r="D8" t="s">
        <v>154</v>
      </c>
      <c r="E8" t="s">
        <v>720</v>
      </c>
    </row>
    <row r="9" spans="1:10">
      <c r="C9" s="3">
        <f>C8*Conversion!C38</f>
        <v>4320000000</v>
      </c>
      <c r="D9" t="s">
        <v>753</v>
      </c>
    </row>
    <row r="10" spans="1:10">
      <c r="C10" s="3"/>
    </row>
    <row r="11" spans="1:10">
      <c r="A11" t="s">
        <v>139</v>
      </c>
      <c r="C11" s="16">
        <f>1*18775</f>
        <v>18775</v>
      </c>
      <c r="D11" t="s">
        <v>152</v>
      </c>
      <c r="E11" t="s">
        <v>151</v>
      </c>
    </row>
    <row r="12" spans="1:10">
      <c r="A12" t="s">
        <v>140</v>
      </c>
      <c r="C12" s="3">
        <f>(C11*C1)/Conversion!B2</f>
        <v>102806.29705681041</v>
      </c>
      <c r="D12" t="s">
        <v>754</v>
      </c>
    </row>
    <row r="13" spans="1:10">
      <c r="C13" s="3">
        <f>C12*Conversion!B38</f>
        <v>1189.887697416787</v>
      </c>
      <c r="D13" t="s">
        <v>154</v>
      </c>
    </row>
    <row r="14" spans="1:10">
      <c r="C14" s="3"/>
      <c r="E14" t="s">
        <v>546</v>
      </c>
    </row>
    <row r="15" spans="1:10">
      <c r="A15" t="s">
        <v>208</v>
      </c>
      <c r="C15" s="54">
        <f>SUM(Crops!AF:AF)*Conversion!B33</f>
        <v>62689.094137373897</v>
      </c>
      <c r="D15" t="s">
        <v>152</v>
      </c>
      <c r="E15" t="s">
        <v>544</v>
      </c>
    </row>
    <row r="16" spans="1:10">
      <c r="C16" s="54">
        <f>C15/Conversion!B2</f>
        <v>171.63338572860752</v>
      </c>
      <c r="D16" t="s">
        <v>755</v>
      </c>
      <c r="E16" t="s">
        <v>545</v>
      </c>
    </row>
    <row r="17" spans="1:9">
      <c r="C17" s="4">
        <f>C15*Conversion!B37</f>
        <v>1.9864975200070314</v>
      </c>
      <c r="D17" t="s">
        <v>154</v>
      </c>
      <c r="E17" t="s">
        <v>744</v>
      </c>
    </row>
    <row r="18" spans="1:9">
      <c r="C18" s="4"/>
      <c r="E18" t="s">
        <v>546</v>
      </c>
    </row>
    <row r="19" spans="1:9">
      <c r="A19" t="s">
        <v>749</v>
      </c>
      <c r="E19" s="4" t="s">
        <v>743</v>
      </c>
    </row>
    <row r="20" spans="1:9">
      <c r="E20" s="4"/>
    </row>
    <row r="21" spans="1:9">
      <c r="C21" t="s">
        <v>780</v>
      </c>
      <c r="D21" t="s">
        <v>778</v>
      </c>
      <c r="E21" s="4" t="s">
        <v>779</v>
      </c>
    </row>
    <row r="22" spans="1:9">
      <c r="A22" t="s">
        <v>776</v>
      </c>
      <c r="D22" s="3">
        <v>1000</v>
      </c>
      <c r="E22" s="3">
        <v>100</v>
      </c>
      <c r="G22" t="s">
        <v>543</v>
      </c>
    </row>
    <row r="23" spans="1:9">
      <c r="A23" t="s">
        <v>856</v>
      </c>
      <c r="C23">
        <v>3500</v>
      </c>
      <c r="D23" s="3"/>
      <c r="E23" s="3"/>
      <c r="G23" t="s">
        <v>857</v>
      </c>
    </row>
    <row r="24" spans="1:9">
      <c r="A24" t="s">
        <v>777</v>
      </c>
      <c r="C24">
        <v>0.1</v>
      </c>
      <c r="D24" s="3">
        <v>100</v>
      </c>
      <c r="E24" s="3">
        <v>1</v>
      </c>
    </row>
    <row r="25" spans="1:9">
      <c r="A25" t="s">
        <v>745</v>
      </c>
      <c r="C25">
        <f>24-8</f>
        <v>16</v>
      </c>
      <c r="D25" s="4">
        <v>12</v>
      </c>
      <c r="E25" s="4">
        <v>0.5</v>
      </c>
    </row>
    <row r="26" spans="1:9">
      <c r="A26" t="s">
        <v>141</v>
      </c>
      <c r="C26">
        <v>266</v>
      </c>
      <c r="D26">
        <v>266</v>
      </c>
      <c r="E26">
        <v>266</v>
      </c>
      <c r="G26" t="s">
        <v>547</v>
      </c>
    </row>
    <row r="27" spans="1:9">
      <c r="A27" t="s">
        <v>308</v>
      </c>
      <c r="C27" s="3">
        <f>Vehicle!C22+Vehicle!C24</f>
        <v>7276830.3862648867</v>
      </c>
      <c r="D27" s="3">
        <f>Vehicle!C23+Vehicle!C26</f>
        <v>817632.80695200211</v>
      </c>
      <c r="E27" s="3">
        <f>Vehicle!C17-C27-D27</f>
        <v>51203125.89329046</v>
      </c>
    </row>
    <row r="28" spans="1:9">
      <c r="A28" t="s">
        <v>747</v>
      </c>
      <c r="C28" s="3">
        <f>C29*1000/C25</f>
        <v>95747768240.327454</v>
      </c>
      <c r="D28" s="3">
        <f>(D22*D27/D26)*1000</f>
        <v>3073807544.9323387</v>
      </c>
      <c r="E28" s="3">
        <f>(E22*E27/E26)*1000</f>
        <v>19249295448.605438</v>
      </c>
      <c r="G28" t="s">
        <v>748</v>
      </c>
    </row>
    <row r="29" spans="1:9">
      <c r="A29" t="s">
        <v>153</v>
      </c>
      <c r="C29" s="3">
        <f>(C23/C26*C25)*C27</f>
        <v>1531964291.8452392</v>
      </c>
      <c r="D29" s="3">
        <f>((D22*D25+D24*(24-D25))*D27/D26)</f>
        <v>40574259.593106873</v>
      </c>
      <c r="E29" s="3">
        <f>((E22*E25+E24*(24-E25))*E27/E26)</f>
        <v>14148232.154724997</v>
      </c>
      <c r="G29" t="s">
        <v>746</v>
      </c>
      <c r="I29" s="3">
        <f>SUM(D29:E29)</f>
        <v>54722491.747831866</v>
      </c>
    </row>
    <row r="30" spans="1:9">
      <c r="C30" s="3"/>
    </row>
    <row r="31" spans="1:9">
      <c r="A31" t="s">
        <v>159</v>
      </c>
      <c r="C31" s="3">
        <v>0.04</v>
      </c>
      <c r="D31" t="s">
        <v>160</v>
      </c>
    </row>
    <row r="32" spans="1:9">
      <c r="A32" t="s">
        <v>164</v>
      </c>
      <c r="C32" s="3">
        <f>SUM(C28:E28)*C31</f>
        <v>4722834849.3546095</v>
      </c>
      <c r="D32" s="42" t="s">
        <v>43</v>
      </c>
    </row>
    <row r="33" spans="1:6">
      <c r="C33" s="3"/>
      <c r="D33" s="42"/>
    </row>
    <row r="34" spans="1:6">
      <c r="A34" t="s">
        <v>750</v>
      </c>
      <c r="C34" s="3">
        <f>C13+C8+C17+SUM(C28:E28)</f>
        <v>118120872425.73943</v>
      </c>
      <c r="D34" s="42"/>
      <c r="E34" s="4">
        <f>C34/10000000</f>
        <v>11812.087242573942</v>
      </c>
    </row>
    <row r="35" spans="1:6">
      <c r="A35" t="s">
        <v>751</v>
      </c>
      <c r="C35" s="3">
        <f>C12+C9+C16+SUM(C29:E29)</f>
        <v>5906789761.5235138</v>
      </c>
      <c r="D35" t="s">
        <v>207</v>
      </c>
      <c r="E35" s="4">
        <f>C35/10000000</f>
        <v>590.67897615235142</v>
      </c>
      <c r="F35" t="s">
        <v>548</v>
      </c>
    </row>
    <row r="36" spans="1:6">
      <c r="A36" t="s">
        <v>716</v>
      </c>
      <c r="C36" s="3">
        <f>C35*Conversion!B2</f>
        <v>2157454960396.4634</v>
      </c>
      <c r="D36" t="s">
        <v>207</v>
      </c>
      <c r="E36" s="4"/>
    </row>
    <row r="37" spans="1:6">
      <c r="C37" s="3"/>
      <c r="E37" s="3"/>
    </row>
    <row r="38" spans="1:6">
      <c r="A38" t="s">
        <v>550</v>
      </c>
      <c r="B38" t="s">
        <v>551</v>
      </c>
    </row>
    <row r="39" spans="1:6">
      <c r="A39" t="s">
        <v>858</v>
      </c>
      <c r="C39">
        <v>0.2</v>
      </c>
    </row>
    <row r="40" spans="1:6">
      <c r="A40" t="s">
        <v>158</v>
      </c>
      <c r="C40" s="50">
        <f>(100+3000)/7000000000/Conversion!C4/C39</f>
        <v>2.5260451552572538E-10</v>
      </c>
      <c r="D40" t="s">
        <v>156</v>
      </c>
      <c r="E40" t="s">
        <v>859</v>
      </c>
      <c r="F40" t="s">
        <v>46</v>
      </c>
    </row>
    <row r="41" spans="1:6">
      <c r="A41" t="s">
        <v>161</v>
      </c>
      <c r="C41" s="50">
        <v>1E-3</v>
      </c>
      <c r="D41" t="s">
        <v>149</v>
      </c>
    </row>
    <row r="42" spans="1:6">
      <c r="A42" t="s">
        <v>144</v>
      </c>
      <c r="C42" s="3">
        <v>1.1000000000000001</v>
      </c>
    </row>
    <row r="43" spans="1:6">
      <c r="A43" t="s">
        <v>758</v>
      </c>
      <c r="C43" s="3">
        <f>C34*C41</f>
        <v>118120872.42573942</v>
      </c>
    </row>
    <row r="44" spans="1:6">
      <c r="A44" t="s">
        <v>162</v>
      </c>
      <c r="C44" s="3">
        <f>C36*C40*Conversion!C4</f>
        <v>4777221.6980207395</v>
      </c>
      <c r="D44" t="s">
        <v>43</v>
      </c>
      <c r="E44" s="3">
        <f>C35*C40*Conversion!C4</f>
        <v>13079.320186230636</v>
      </c>
    </row>
    <row r="45" spans="1:6">
      <c r="A45" t="s">
        <v>559</v>
      </c>
      <c r="C45" s="3">
        <f>C58</f>
        <v>126227.808</v>
      </c>
    </row>
    <row r="46" spans="1:6">
      <c r="C46" s="41"/>
    </row>
    <row r="47" spans="1:6">
      <c r="A47" t="s">
        <v>163</v>
      </c>
      <c r="C47" s="21">
        <f>C7*(C44-C45)</f>
        <v>62011701.535646513</v>
      </c>
      <c r="D47" t="s">
        <v>43</v>
      </c>
      <c r="E47" t="s">
        <v>757</v>
      </c>
      <c r="F47" s="4"/>
    </row>
    <row r="48" spans="1:6">
      <c r="C48" s="4">
        <f>C47/Conversion!$D$31</f>
        <v>0.58348122138384961</v>
      </c>
      <c r="D48" t="s">
        <v>166</v>
      </c>
    </row>
    <row r="49" spans="1:5">
      <c r="C49" s="3"/>
    </row>
    <row r="50" spans="1:5">
      <c r="A50" t="s">
        <v>554</v>
      </c>
      <c r="E50" t="s">
        <v>560</v>
      </c>
    </row>
    <row r="51" spans="1:5">
      <c r="A51" t="s">
        <v>555</v>
      </c>
      <c r="C51">
        <f>Geometry!E49</f>
        <v>196349.54084936206</v>
      </c>
    </row>
    <row r="52" spans="1:5">
      <c r="E52" s="3">
        <f>Geometry!E53</f>
        <v>1468908825.1562746</v>
      </c>
    </row>
    <row r="53" spans="1:5">
      <c r="A53" t="s">
        <v>552</v>
      </c>
      <c r="C53" s="3">
        <f>0.02*10000/6.022E+23*18.0152/1000</f>
        <v>5.983128528727997E-24</v>
      </c>
      <c r="D53" t="s">
        <v>230</v>
      </c>
    </row>
    <row r="54" spans="1:5">
      <c r="A54" t="s">
        <v>553</v>
      </c>
      <c r="C54" s="3">
        <f>C53*Conversion!$C$3</f>
        <v>1.8880929979090003E-16</v>
      </c>
      <c r="D54" t="s">
        <v>558</v>
      </c>
    </row>
    <row r="55" spans="1:5">
      <c r="A55" t="s">
        <v>556</v>
      </c>
      <c r="C55" s="3">
        <f>4/1000</f>
        <v>4.0000000000000001E-3</v>
      </c>
      <c r="D55" t="s">
        <v>230</v>
      </c>
    </row>
    <row r="56" spans="1:5">
      <c r="C56" s="3">
        <f>C55*Conversion!$C$3</f>
        <v>126227.808</v>
      </c>
      <c r="D56" t="s">
        <v>558</v>
      </c>
    </row>
    <row r="57" spans="1:5">
      <c r="A57" t="s">
        <v>557</v>
      </c>
      <c r="C57">
        <f>4/1000</f>
        <v>4.0000000000000001E-3</v>
      </c>
      <c r="D57" t="s">
        <v>230</v>
      </c>
      <c r="E57" s="72">
        <f>C58/E52</f>
        <v>8.5933044882190594E-5</v>
      </c>
    </row>
    <row r="58" spans="1:5">
      <c r="C58" s="3">
        <f>C57*Conversion!$C$3</f>
        <v>126227.808</v>
      </c>
      <c r="D58" t="s">
        <v>558</v>
      </c>
    </row>
    <row r="59" spans="1:5">
      <c r="A59" t="s">
        <v>561</v>
      </c>
      <c r="C59" s="3">
        <f>C58+C56+C54</f>
        <v>252455.61600000001</v>
      </c>
    </row>
  </sheetData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90E8D-D498-8E4A-B7E7-E34E146B1C50}">
  <dimension ref="A1:AP122"/>
  <sheetViews>
    <sheetView topLeftCell="A5" workbookViewId="0">
      <selection activeCell="J16" sqref="J16"/>
    </sheetView>
  </sheetViews>
  <sheetFormatPr baseColWidth="10" defaultRowHeight="16"/>
  <cols>
    <col min="2" max="2" width="13.6640625" bestFit="1" customWidth="1"/>
    <col min="3" max="3" width="6.6640625" style="7" customWidth="1"/>
    <col min="4" max="4" width="6.83203125" style="7" bestFit="1" customWidth="1"/>
    <col min="5" max="5" width="7.83203125" style="7" customWidth="1"/>
    <col min="6" max="6" width="6.5" style="7" customWidth="1"/>
    <col min="7" max="7" width="7" style="7" customWidth="1"/>
    <col min="8" max="8" width="8.1640625" style="7" customWidth="1"/>
    <col min="9" max="10" width="6.33203125" style="7" customWidth="1"/>
    <col min="11" max="24" width="7.83203125" style="7" customWidth="1"/>
    <col min="25" max="25" width="6.1640625" style="7" customWidth="1"/>
    <col min="26" max="38" width="5.83203125" customWidth="1"/>
    <col min="39" max="42" width="6.83203125" customWidth="1"/>
  </cols>
  <sheetData>
    <row r="1" spans="1:42">
      <c r="A1" t="s">
        <v>25</v>
      </c>
    </row>
    <row r="2" spans="1:42">
      <c r="A2" t="s">
        <v>26</v>
      </c>
      <c r="B2">
        <v>1</v>
      </c>
      <c r="C2" s="7">
        <f>(1/1000)*$B$2</f>
        <v>1E-3</v>
      </c>
      <c r="G2" s="7" t="s">
        <v>814</v>
      </c>
      <c r="J2" s="7" t="e">
        <f>Vehicle!#REF!</f>
        <v>#REF!</v>
      </c>
      <c r="M2"/>
      <c r="N2" s="7" t="s">
        <v>31</v>
      </c>
      <c r="O2" t="s">
        <v>791</v>
      </c>
      <c r="P2" t="s">
        <v>793</v>
      </c>
      <c r="Q2" t="s">
        <v>794</v>
      </c>
      <c r="R2" t="s">
        <v>817</v>
      </c>
      <c r="S2" t="s">
        <v>39</v>
      </c>
      <c r="T2" s="7" t="s">
        <v>795</v>
      </c>
      <c r="U2" s="7" t="s">
        <v>796</v>
      </c>
      <c r="V2" s="7" t="s">
        <v>797</v>
      </c>
      <c r="W2" s="7" t="s">
        <v>798</v>
      </c>
      <c r="X2" s="7" t="s">
        <v>799</v>
      </c>
      <c r="Y2" s="7" t="s">
        <v>800</v>
      </c>
      <c r="Z2" s="7" t="s">
        <v>801</v>
      </c>
      <c r="AA2" s="7"/>
    </row>
    <row r="3" spans="1:42">
      <c r="A3" t="s">
        <v>28</v>
      </c>
      <c r="B3">
        <f>MAX('Population Model'!B3:B103)</f>
        <v>1954</v>
      </c>
      <c r="C3" s="7">
        <f>B6/B3</f>
        <v>1.0235414534288638</v>
      </c>
      <c r="G3" s="7" t="s">
        <v>41</v>
      </c>
      <c r="J3" s="7">
        <f>B6*0.25</f>
        <v>500</v>
      </c>
      <c r="L3" s="7" t="s">
        <v>808</v>
      </c>
      <c r="M3">
        <v>0</v>
      </c>
      <c r="N3" s="7">
        <v>0</v>
      </c>
      <c r="O3">
        <v>0.5</v>
      </c>
      <c r="P3">
        <v>0.5</v>
      </c>
      <c r="Q3">
        <v>0</v>
      </c>
      <c r="R3">
        <v>0.9</v>
      </c>
      <c r="S3">
        <v>0.25</v>
      </c>
      <c r="T3" s="7">
        <v>0.1234</v>
      </c>
      <c r="U3" s="7">
        <f>T3*0.99</f>
        <v>0.122166</v>
      </c>
      <c r="V3" s="7">
        <f>U3*0.99</f>
        <v>0.12094434</v>
      </c>
      <c r="W3" s="7">
        <f>V3*0.99</f>
        <v>0.1197348966</v>
      </c>
      <c r="X3" s="7">
        <f>W3*0.99</f>
        <v>0.118537547634</v>
      </c>
      <c r="Y3" s="7">
        <f>X3*0.95</f>
        <v>0.1126106702523</v>
      </c>
      <c r="Z3" s="7">
        <v>0.15</v>
      </c>
    </row>
    <row r="4" spans="1:42">
      <c r="A4" t="s">
        <v>29</v>
      </c>
      <c r="B4">
        <f>MIN('Population Model'!B3:B103)</f>
        <v>541</v>
      </c>
      <c r="G4" t="s">
        <v>789</v>
      </c>
      <c r="J4" s="7" t="str">
        <f>Vehicle!B3</f>
        <v>professional</v>
      </c>
      <c r="L4" s="7" t="s">
        <v>812</v>
      </c>
      <c r="M4">
        <v>1</v>
      </c>
      <c r="N4" s="7">
        <v>1</v>
      </c>
      <c r="O4" s="7">
        <v>0</v>
      </c>
      <c r="P4" s="7">
        <v>0.9</v>
      </c>
      <c r="Q4" s="7">
        <v>0.7</v>
      </c>
      <c r="R4" s="7">
        <v>1</v>
      </c>
      <c r="S4" s="7">
        <v>0</v>
      </c>
      <c r="T4" s="7">
        <v>1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</row>
    <row r="5" spans="1:42">
      <c r="A5" t="s">
        <v>30</v>
      </c>
      <c r="B5" s="1">
        <f>'Population Model'!B103</f>
        <v>1954</v>
      </c>
      <c r="H5"/>
      <c r="J5" s="109">
        <f>LOOKUP(J4,Population!L3:L6,Population!M3:M6)</f>
        <v>3</v>
      </c>
      <c r="L5" s="7" t="s">
        <v>810</v>
      </c>
      <c r="M5" s="7">
        <v>2</v>
      </c>
      <c r="N5" s="7">
        <v>0</v>
      </c>
      <c r="O5" s="7">
        <v>0</v>
      </c>
      <c r="P5" s="7">
        <v>0.5</v>
      </c>
      <c r="Q5" s="7">
        <v>0.8</v>
      </c>
      <c r="R5" s="7">
        <v>0.9</v>
      </c>
      <c r="S5" s="7">
        <v>0</v>
      </c>
      <c r="T5" s="7">
        <v>0.5</v>
      </c>
      <c r="U5" s="7">
        <v>0.4</v>
      </c>
      <c r="V5" s="7">
        <v>0.1</v>
      </c>
      <c r="W5" s="7">
        <v>0</v>
      </c>
      <c r="X5" s="7">
        <v>0</v>
      </c>
      <c r="Y5" s="7">
        <v>0</v>
      </c>
      <c r="Z5" s="7">
        <v>0</v>
      </c>
      <c r="AN5">
        <f>SUM(A25:Y25)</f>
        <v>217</v>
      </c>
    </row>
    <row r="6" spans="1:42">
      <c r="A6" t="s">
        <v>88</v>
      </c>
      <c r="B6" s="2">
        <f>Vehicle!B1</f>
        <v>2000</v>
      </c>
      <c r="C6" s="7" t="s">
        <v>723</v>
      </c>
      <c r="D6" s="7">
        <v>73</v>
      </c>
      <c r="G6" s="7" t="s">
        <v>806</v>
      </c>
      <c r="J6" s="7">
        <f>LOOKUP(J4,Population!L3:L5,Population!N3:N5)</f>
        <v>0</v>
      </c>
      <c r="L6" s="7" t="s">
        <v>818</v>
      </c>
      <c r="M6">
        <v>3</v>
      </c>
      <c r="N6" s="7">
        <v>0</v>
      </c>
      <c r="O6">
        <v>0.9</v>
      </c>
      <c r="P6">
        <v>0.4</v>
      </c>
      <c r="Q6">
        <f>(1-0.84021)</f>
        <v>0.15978999999999999</v>
      </c>
      <c r="R6">
        <v>0.5</v>
      </c>
      <c r="S6">
        <v>0.16500000000000001</v>
      </c>
      <c r="T6" s="7">
        <v>0.4</v>
      </c>
      <c r="U6" s="7">
        <v>0.22500000000000001</v>
      </c>
      <c r="V6" s="7">
        <v>0.05</v>
      </c>
      <c r="W6" s="7">
        <v>0.05</v>
      </c>
      <c r="X6" s="7">
        <v>0.05</v>
      </c>
      <c r="Y6" s="7">
        <v>0.05</v>
      </c>
      <c r="Z6" s="7">
        <v>0.05</v>
      </c>
    </row>
    <row r="7" spans="1:42">
      <c r="A7" t="s">
        <v>212</v>
      </c>
      <c r="B7" s="56">
        <f>AVERAGE('Population Model'!B3:B103)</f>
        <v>1631.6336633663366</v>
      </c>
      <c r="F7"/>
      <c r="G7" s="7" t="s">
        <v>793</v>
      </c>
      <c r="J7" s="7">
        <f>LOOKUP($J$5,$M$3:$M$6,$P$3:$P$6)</f>
        <v>0.4</v>
      </c>
      <c r="K7"/>
      <c r="L7"/>
      <c r="M7"/>
      <c r="N7"/>
      <c r="O7"/>
      <c r="P7"/>
      <c r="Q7"/>
      <c r="S7"/>
      <c r="T7"/>
      <c r="U7"/>
    </row>
    <row r="8" spans="1:42">
      <c r="A8" t="s">
        <v>637</v>
      </c>
      <c r="B8" s="25">
        <f>B6*B10*B9</f>
        <v>23.761836638153017</v>
      </c>
      <c r="F8"/>
      <c r="G8" s="7" t="s">
        <v>792</v>
      </c>
      <c r="J8" s="7">
        <f>1-J7</f>
        <v>0.6</v>
      </c>
      <c r="K8"/>
      <c r="L8"/>
      <c r="M8"/>
      <c r="N8"/>
      <c r="O8"/>
      <c r="P8"/>
      <c r="Q8"/>
      <c r="R8"/>
      <c r="S8"/>
      <c r="T8"/>
      <c r="U8"/>
    </row>
    <row r="9" spans="1:42">
      <c r="A9" t="s">
        <v>783</v>
      </c>
      <c r="B9" s="77">
        <v>1.1157999999999999</v>
      </c>
      <c r="F9"/>
      <c r="G9" s="7" t="s">
        <v>32</v>
      </c>
      <c r="J9" s="7">
        <f>J34+J36+J38+J40+J42</f>
        <v>155.00000000000003</v>
      </c>
      <c r="L9" t="s">
        <v>808</v>
      </c>
      <c r="M9" t="s">
        <v>809</v>
      </c>
      <c r="N9"/>
      <c r="O9"/>
      <c r="P9"/>
      <c r="Q9"/>
      <c r="R9"/>
      <c r="S9"/>
      <c r="T9"/>
      <c r="U9"/>
    </row>
    <row r="10" spans="1:42">
      <c r="A10" s="7" t="s">
        <v>636</v>
      </c>
      <c r="B10" s="7">
        <f>1-GEOMEAN(O29:O46)</f>
        <v>1.064789238131969E-2</v>
      </c>
      <c r="C10" s="7">
        <f>1/B10</f>
        <v>93.915299308844155</v>
      </c>
      <c r="D10" s="7">
        <f>POWER(N29*N30*N31*N33*N35*N37*N39*N41*N43*N44,7)*POWER(N45,3.38)</f>
        <v>0.70562632665243741</v>
      </c>
      <c r="F10"/>
      <c r="G10" s="7" t="s">
        <v>34</v>
      </c>
      <c r="J10" s="7">
        <f>J33+J35+J37+J39+J41</f>
        <v>232.5</v>
      </c>
      <c r="L10" t="s">
        <v>812</v>
      </c>
      <c r="M10" t="s">
        <v>813</v>
      </c>
      <c r="N10"/>
      <c r="O10"/>
      <c r="P10"/>
      <c r="Q10"/>
      <c r="R10"/>
      <c r="S10"/>
      <c r="T10"/>
      <c r="U10"/>
    </row>
    <row r="11" spans="1:42">
      <c r="A11" s="7" t="s">
        <v>61</v>
      </c>
      <c r="B11" s="7">
        <f>1-B12</f>
        <v>0.85714285714285721</v>
      </c>
      <c r="F11"/>
      <c r="G11" s="7" t="s">
        <v>59</v>
      </c>
      <c r="J11" s="7">
        <f>SUM(J29:J32)</f>
        <v>82.5</v>
      </c>
      <c r="L11" t="s">
        <v>810</v>
      </c>
      <c r="M11" s="7" t="s">
        <v>811</v>
      </c>
      <c r="N11"/>
      <c r="O11"/>
      <c r="P11"/>
      <c r="Q11"/>
      <c r="R11"/>
      <c r="S11"/>
      <c r="T11"/>
      <c r="U11"/>
      <c r="AL11" s="19"/>
      <c r="AM11" s="19"/>
      <c r="AN11" s="19"/>
      <c r="AO11" s="19"/>
      <c r="AP11" s="19"/>
    </row>
    <row r="12" spans="1:42">
      <c r="A12" s="7" t="s">
        <v>62</v>
      </c>
      <c r="B12" s="7">
        <f>$B$2/7</f>
        <v>0.14285714285714285</v>
      </c>
      <c r="F12"/>
      <c r="G12" s="7" t="s">
        <v>765</v>
      </c>
      <c r="H12"/>
      <c r="I12"/>
      <c r="J12">
        <f>MIN(J9,J10)*LOOKUP($J$5,$M$3:$M$6,$O$3:$O$6)</f>
        <v>139.50000000000003</v>
      </c>
      <c r="L12" t="s">
        <v>818</v>
      </c>
      <c r="M12" t="s">
        <v>819</v>
      </c>
      <c r="N12"/>
      <c r="O12"/>
      <c r="P12"/>
      <c r="Q12"/>
      <c r="R12"/>
      <c r="S12"/>
      <c r="T12"/>
      <c r="U12"/>
      <c r="AL12" s="19"/>
      <c r="AM12" s="19"/>
      <c r="AN12" s="19"/>
      <c r="AO12" s="19"/>
      <c r="AP12" s="19"/>
    </row>
    <row r="13" spans="1:42" ht="17" thickBot="1">
      <c r="A13" s="7" t="s">
        <v>767</v>
      </c>
      <c r="B13" s="7">
        <v>0.25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AL13" s="19"/>
      <c r="AM13" s="19"/>
      <c r="AN13" s="19"/>
      <c r="AO13" s="19"/>
      <c r="AP13" s="19"/>
    </row>
    <row r="14" spans="1:42">
      <c r="A14" s="7" t="s">
        <v>768</v>
      </c>
      <c r="B14" s="7">
        <f>0.3/50</f>
        <v>6.0000000000000001E-3</v>
      </c>
      <c r="F14"/>
      <c r="G14" s="110" t="s">
        <v>138</v>
      </c>
      <c r="H14" s="111" t="s">
        <v>772</v>
      </c>
      <c r="I14" s="112" t="s">
        <v>804</v>
      </c>
      <c r="J14" s="112" t="s">
        <v>805</v>
      </c>
      <c r="K14" s="113" t="s">
        <v>28</v>
      </c>
      <c r="L14" s="114" t="s">
        <v>30</v>
      </c>
      <c r="M14"/>
      <c r="N14"/>
      <c r="O14"/>
      <c r="P14"/>
      <c r="Q14"/>
      <c r="R14"/>
      <c r="S14"/>
      <c r="T14"/>
      <c r="U14"/>
      <c r="AL14" s="19"/>
      <c r="AM14" s="19"/>
      <c r="AN14" s="19"/>
      <c r="AO14" s="19"/>
      <c r="AP14" s="19"/>
    </row>
    <row r="15" spans="1:42">
      <c r="A15" s="7" t="s">
        <v>816</v>
      </c>
      <c r="B15" s="7">
        <f>LOOKUP($J$5,$M$3:$M$6,$Q$3:$Q$6)</f>
        <v>0.15978999999999999</v>
      </c>
      <c r="F15"/>
      <c r="G15" s="115" t="s">
        <v>8</v>
      </c>
      <c r="H15" s="116">
        <v>0</v>
      </c>
      <c r="I15" s="117">
        <f>0+1</f>
        <v>1</v>
      </c>
      <c r="J15" s="117">
        <f>I15+5+10</f>
        <v>16</v>
      </c>
      <c r="K15" s="118">
        <v>34</v>
      </c>
      <c r="L15" s="119">
        <v>100</v>
      </c>
      <c r="M15"/>
      <c r="N15"/>
      <c r="O15"/>
      <c r="P15"/>
      <c r="Q15"/>
      <c r="R15"/>
      <c r="S15"/>
      <c r="T15"/>
      <c r="U15"/>
      <c r="AL15" s="19"/>
      <c r="AM15" s="19"/>
      <c r="AN15" s="19"/>
      <c r="AO15" s="19"/>
      <c r="AP15" s="19"/>
    </row>
    <row r="16" spans="1:42">
      <c r="A16" s="7" t="s">
        <v>33</v>
      </c>
      <c r="B16" s="7">
        <f>J8</f>
        <v>0.6</v>
      </c>
      <c r="F16"/>
      <c r="G16" s="115" t="s">
        <v>803</v>
      </c>
      <c r="H16" s="120">
        <f>LOOKUP(H15,'Population Model'!$A$3:$A$100,'Population Model'!$B$3:$B$100)</f>
        <v>541</v>
      </c>
      <c r="I16" s="120">
        <f>LOOKUP(I15,'Population Model'!$A$3:$A$100,'Population Model'!$B$3:$B$100)</f>
        <v>582</v>
      </c>
      <c r="J16" s="120">
        <f>LOOKUP(J15,'Population Model'!$A$3:$A$100,'Population Model'!$B$3:$B$100)</f>
        <v>1187</v>
      </c>
      <c r="K16" s="117">
        <f>MAX('Population Model'!B:B)</f>
        <v>1964</v>
      </c>
      <c r="L16" s="121">
        <f>LOOKUP(L15,'Population Model'!$A$3:$A$100,'Population Model'!$B$3:$B$100)</f>
        <v>1951</v>
      </c>
      <c r="M16"/>
      <c r="N16"/>
      <c r="O16"/>
      <c r="P16"/>
      <c r="Q16"/>
      <c r="R16"/>
      <c r="S16"/>
      <c r="T16"/>
      <c r="U16"/>
    </row>
    <row r="17" spans="1:27" ht="17" thickBot="1">
      <c r="A17" s="7" t="s">
        <v>705</v>
      </c>
      <c r="C17" s="15">
        <f>(MAX('Population Model'!AD:AD)+MAX('Population Model'!AE:AE))/7</f>
        <v>23.513073194866347</v>
      </c>
      <c r="D17" s="7">
        <f>(MIN('Population Model'!AD:AD)+MIN('Population Model'!AE:AE))/7</f>
        <v>3.9285714285714284</v>
      </c>
      <c r="E17"/>
      <c r="F17"/>
      <c r="G17" s="122" t="s">
        <v>802</v>
      </c>
      <c r="H17" s="123">
        <f>LOOKUP(H15,'Population Model'!$A$3:$A$100,'Population Model'!$C$3:$C$100)</f>
        <v>402</v>
      </c>
      <c r="I17" s="123">
        <f>LOOKUP(I15,'Population Model'!$A$3:$A$100,'Population Model'!$C$3:$C$100)</f>
        <v>395</v>
      </c>
      <c r="J17" s="123">
        <f>LOOKUP(J15,'Population Model'!$A$3:$A$100,'Population Model'!$C$3:$C$100)</f>
        <v>624</v>
      </c>
      <c r="K17" s="123">
        <f>LOOKUP(K15,'Population Model'!$A$3:$A$100,'Population Model'!$C$3:$C$100)</f>
        <v>746</v>
      </c>
      <c r="L17" s="124">
        <f>LOOKUP(L15,'Population Model'!$A$3:$A$100,'Population Model'!$C$3:$C$100)</f>
        <v>771</v>
      </c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7">
      <c r="A18" s="7" t="s">
        <v>731</v>
      </c>
      <c r="E18"/>
      <c r="F18"/>
      <c r="G18"/>
      <c r="H18">
        <f>H17/H16</f>
        <v>0.74306839186691309</v>
      </c>
      <c r="I18">
        <f t="shared" ref="I18:L18" si="0">I17/I16</f>
        <v>0.67869415807560141</v>
      </c>
      <c r="J18">
        <f t="shared" si="0"/>
        <v>0.52569502948609936</v>
      </c>
      <c r="K18">
        <f t="shared" si="0"/>
        <v>0.37983706720977595</v>
      </c>
      <c r="L18">
        <f t="shared" si="0"/>
        <v>0.39518195797027167</v>
      </c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7">
      <c r="A19" s="7"/>
      <c r="B19" t="s">
        <v>763</v>
      </c>
      <c r="C19" s="63">
        <f>(C33+C35+C37+C39+C41+C43)</f>
        <v>589.26103998960252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7" ht="17" thickBot="1">
      <c r="A20" s="7"/>
      <c r="B20" t="s">
        <v>762</v>
      </c>
      <c r="C20" s="63">
        <f>(C34+C36+C38+C40)</f>
        <v>320.46814442656165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7">
      <c r="A21" s="32" t="s">
        <v>699</v>
      </c>
      <c r="B21" s="75"/>
      <c r="C21" s="75"/>
      <c r="E21" s="75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 s="75"/>
      <c r="W21" s="1"/>
      <c r="X21" s="1"/>
      <c r="Y21"/>
    </row>
    <row r="22" spans="1:27">
      <c r="A22" s="85" t="s">
        <v>593</v>
      </c>
      <c r="C22" s="85">
        <f>MAX('Population Model'!O:O)</f>
        <v>766.80076396174888</v>
      </c>
      <c r="D22" s="85">
        <f>CEILING(AVERAGE('Population Model'!O:O),1)</f>
        <v>588</v>
      </c>
      <c r="E22" s="7">
        <f>LOOKUP(C22,'Population Model'!A:A,'Population Model'!O:O)</f>
        <v>766.80076396174888</v>
      </c>
      <c r="F22">
        <f>CEILING(C22/10,1)</f>
        <v>77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7">
      <c r="A23" s="85" t="s">
        <v>854</v>
      </c>
      <c r="C23" s="85">
        <f>CEILING(MAX('Population Model'!Q:Q),1)</f>
        <v>144</v>
      </c>
      <c r="D23" s="85">
        <f>CEILING(AVERAGE('Population Model'!Q:Q),1)</f>
        <v>123</v>
      </c>
      <c r="F23">
        <f>CEILING(C23/4,1)</f>
        <v>36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7" ht="17" thickBot="1">
      <c r="A24" s="86" t="s">
        <v>594</v>
      </c>
      <c r="B24" s="77"/>
      <c r="C24" s="87">
        <f>CEILING(MAX('Population Model'!P:P),1)</f>
        <v>207</v>
      </c>
      <c r="D24" s="77">
        <f>CEILING(AVERAGE('Population Model'!P:P),1)</f>
        <v>190</v>
      </c>
      <c r="E24" s="77"/>
      <c r="F24">
        <f>CEILING(C24/2,1)</f>
        <v>104</v>
      </c>
      <c r="H24"/>
      <c r="I24"/>
      <c r="J24">
        <f>SUM(J29:J46)</f>
        <v>499.99999999999994</v>
      </c>
      <c r="K24">
        <f>SUM(K33:K43)</f>
        <v>0.80500000000000016</v>
      </c>
      <c r="L24"/>
      <c r="M24"/>
      <c r="N24"/>
      <c r="O24"/>
      <c r="P24"/>
      <c r="Q24"/>
      <c r="R24"/>
      <c r="S24"/>
      <c r="T24"/>
      <c r="U24"/>
      <c r="V24" s="77"/>
      <c r="W24" s="77"/>
      <c r="X24" s="77"/>
      <c r="Y24" s="77"/>
    </row>
    <row r="25" spans="1:27">
      <c r="A25" s="85"/>
      <c r="E25" s="7" t="s">
        <v>855</v>
      </c>
      <c r="F25">
        <f>SUM(F22:F24)</f>
        <v>217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W25" s="1"/>
      <c r="X25" s="1"/>
      <c r="Y25" s="1"/>
    </row>
    <row r="26" spans="1:27"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7">
      <c r="C27" t="s">
        <v>739</v>
      </c>
      <c r="D27" t="s">
        <v>29</v>
      </c>
      <c r="E27" t="s">
        <v>740</v>
      </c>
      <c r="H27" s="7" t="s">
        <v>741</v>
      </c>
      <c r="I27" s="7" t="s">
        <v>742</v>
      </c>
      <c r="J27" s="7" t="s">
        <v>772</v>
      </c>
      <c r="K27" s="7" t="s">
        <v>60</v>
      </c>
      <c r="L27" s="7" t="s">
        <v>928</v>
      </c>
      <c r="M27" s="7" t="s">
        <v>790</v>
      </c>
      <c r="N27" t="s">
        <v>636</v>
      </c>
      <c r="O27"/>
      <c r="P27"/>
      <c r="R27" s="136" t="s">
        <v>736</v>
      </c>
      <c r="S27" s="136"/>
      <c r="T27" s="136"/>
      <c r="U27"/>
    </row>
    <row r="28" spans="1:27">
      <c r="A28" t="s">
        <v>732</v>
      </c>
      <c r="C28"/>
      <c r="D28"/>
      <c r="E28"/>
      <c r="F28" t="s">
        <v>594</v>
      </c>
      <c r="G28" t="s">
        <v>593</v>
      </c>
      <c r="H28"/>
      <c r="I28"/>
      <c r="J28"/>
      <c r="K28"/>
      <c r="L28" s="7">
        <f>SUM(L29:L46)</f>
        <v>1.0000000000000002</v>
      </c>
      <c r="M28"/>
      <c r="Q28"/>
      <c r="R28"/>
      <c r="S28"/>
      <c r="T28"/>
      <c r="U28"/>
    </row>
    <row r="29" spans="1:27">
      <c r="A29" s="9">
        <v>0</v>
      </c>
      <c r="C29">
        <f>MAX('Population Model'!AB4:AB103)</f>
        <v>165.86126424153125</v>
      </c>
      <c r="D29">
        <f>MIN('Population Model'!AB4:AB103)</f>
        <v>64.298888009043509</v>
      </c>
      <c r="E29" s="7">
        <f>AVERAGE('Population Model'!AB2:AB103)</f>
        <v>156.3896411262962</v>
      </c>
      <c r="F29">
        <f>C29*H29</f>
        <v>0</v>
      </c>
      <c r="G29">
        <f>C29*I29</f>
        <v>0</v>
      </c>
      <c r="H29"/>
      <c r="I29"/>
      <c r="J29">
        <f>$J$3*1/3*K29</f>
        <v>27.5</v>
      </c>
      <c r="K29">
        <f>LOOKUP($J$5,$M$3:$M$6,$S$3:$S$6)</f>
        <v>0.16500000000000001</v>
      </c>
      <c r="M29">
        <v>40.6</v>
      </c>
      <c r="N29">
        <f>((100000-M29)/100000)</f>
        <v>0.99959399999999998</v>
      </c>
      <c r="O29">
        <f>N29</f>
        <v>0.99959399999999998</v>
      </c>
      <c r="P29">
        <f>1-N29</f>
        <v>4.0600000000001746E-4</v>
      </c>
      <c r="Q29" s="7" t="s">
        <v>31</v>
      </c>
      <c r="R29" t="s">
        <v>738</v>
      </c>
      <c r="S29" t="s">
        <v>737</v>
      </c>
      <c r="T29"/>
      <c r="U29"/>
      <c r="V29"/>
      <c r="W29"/>
      <c r="Z29" s="7"/>
      <c r="AA29" s="7"/>
    </row>
    <row r="30" spans="1:27">
      <c r="A30" s="10">
        <f>A29+7</f>
        <v>7</v>
      </c>
      <c r="C30">
        <f>MAX('Population Model'!AC4:AC103)</f>
        <v>165.5700778860928</v>
      </c>
      <c r="D30" s="7">
        <f>MIN('Population Model'!AC4:AC103)</f>
        <v>32.174946381975211</v>
      </c>
      <c r="E30" s="7">
        <f>AVERAGE('Population Model'!AC2:AC103)</f>
        <v>148.43467314012582</v>
      </c>
      <c r="F30">
        <f t="shared" ref="F30:F46" si="1">C30*H30</f>
        <v>0</v>
      </c>
      <c r="G30">
        <f t="shared" ref="G30:G46" si="2">C30*I30</f>
        <v>0</v>
      </c>
      <c r="H30"/>
      <c r="I30"/>
      <c r="J30">
        <f t="shared" ref="J30:J46" si="3">$J$3*1/3*K30</f>
        <v>27.5</v>
      </c>
      <c r="K30">
        <f>LOOKUP($J$5,$M$3:$M$6,$S$3:$S$6)</f>
        <v>0.16500000000000001</v>
      </c>
      <c r="L30" s="7">
        <v>0.05</v>
      </c>
      <c r="M30">
        <v>22.5</v>
      </c>
      <c r="N30">
        <f t="shared" ref="N30:N47" si="4">((100000-M30)/100000)</f>
        <v>0.99977499999999997</v>
      </c>
      <c r="O30">
        <f t="shared" ref="O30:O47" si="5">N30</f>
        <v>0.99977499999999997</v>
      </c>
      <c r="P30">
        <f t="shared" ref="P30:P46" si="6">1-N30</f>
        <v>2.2500000000003073E-4</v>
      </c>
      <c r="Q30"/>
      <c r="R30"/>
      <c r="S30"/>
      <c r="T30"/>
      <c r="U30"/>
      <c r="V30"/>
      <c r="W30"/>
      <c r="Z30" s="7"/>
      <c r="AA30" s="7"/>
    </row>
    <row r="31" spans="1:27">
      <c r="A31" s="99">
        <f>A30+7</f>
        <v>14</v>
      </c>
      <c r="B31" s="99" t="s">
        <v>733</v>
      </c>
      <c r="C31" s="99">
        <f>MAX('Population Model'!AD4:AD103)</f>
        <v>82.294704151605885</v>
      </c>
      <c r="D31">
        <f>MIN('Population Model'!AD2:AD103)</f>
        <v>13.75</v>
      </c>
      <c r="E31">
        <f>AVERAGE('Population Model'!AD2:AD103)</f>
        <v>70.875625001453002</v>
      </c>
      <c r="F31">
        <f t="shared" si="1"/>
        <v>8.2294704151605895</v>
      </c>
      <c r="G31">
        <f t="shared" si="2"/>
        <v>32.917881660642358</v>
      </c>
      <c r="H31">
        <v>0.1</v>
      </c>
      <c r="I31">
        <v>0.4</v>
      </c>
      <c r="J31">
        <f t="shared" si="3"/>
        <v>13.75</v>
      </c>
      <c r="K31">
        <f>LOOKUP($J$5,$M$3:$M$6,$S$3:$S$6)*0.5</f>
        <v>8.2500000000000004E-2</v>
      </c>
      <c r="L31" s="7">
        <v>0.05</v>
      </c>
      <c r="M31">
        <v>95.3</v>
      </c>
      <c r="N31">
        <f t="shared" si="4"/>
        <v>0.99904700000000002</v>
      </c>
      <c r="O31">
        <f t="shared" si="5"/>
        <v>0.99904700000000002</v>
      </c>
      <c r="P31">
        <f t="shared" si="6"/>
        <v>9.5299999999998164E-4</v>
      </c>
      <c r="Q31"/>
      <c r="R31"/>
      <c r="S31"/>
      <c r="T31"/>
      <c r="U31"/>
      <c r="V31"/>
      <c r="W31"/>
      <c r="Z31" s="7"/>
      <c r="AA31" s="7"/>
    </row>
    <row r="32" spans="1:27">
      <c r="B32" t="s">
        <v>734</v>
      </c>
      <c r="C32" s="54">
        <f>MAX('Population Model'!AE4:AE103)</f>
        <v>82.294704151605885</v>
      </c>
      <c r="D32" s="99">
        <f>MIN('Population Model'!AE2:AE103)</f>
        <v>13.75</v>
      </c>
      <c r="E32">
        <f>AVERAGE('Population Model'!AE2:AE103)</f>
        <v>70.875625001453002</v>
      </c>
      <c r="F32">
        <f t="shared" si="1"/>
        <v>8.2294704151605895</v>
      </c>
      <c r="G32">
        <f t="shared" si="2"/>
        <v>32.917881660642358</v>
      </c>
      <c r="H32">
        <v>0.1</v>
      </c>
      <c r="I32">
        <v>0.4</v>
      </c>
      <c r="J32">
        <f t="shared" si="3"/>
        <v>13.75</v>
      </c>
      <c r="K32">
        <f>LOOKUP($J$5,$M$3:$M$6,$S$3:$S$6)*0.5</f>
        <v>8.2500000000000004E-2</v>
      </c>
      <c r="L32" s="7">
        <v>0.05</v>
      </c>
      <c r="M32">
        <v>95.3</v>
      </c>
      <c r="N32">
        <f t="shared" si="4"/>
        <v>0.99904700000000002</v>
      </c>
      <c r="O32"/>
      <c r="P32">
        <f t="shared" si="6"/>
        <v>9.5299999999998164E-4</v>
      </c>
      <c r="Q32">
        <v>12</v>
      </c>
      <c r="R32">
        <v>12</v>
      </c>
      <c r="S32">
        <v>12</v>
      </c>
      <c r="T32"/>
      <c r="U32"/>
      <c r="V32"/>
      <c r="W32"/>
      <c r="Z32" s="7"/>
      <c r="AA32" s="7"/>
    </row>
    <row r="33" spans="1:27">
      <c r="A33" s="99">
        <f>A31+7</f>
        <v>21</v>
      </c>
      <c r="B33" s="99" t="s">
        <v>733</v>
      </c>
      <c r="C33" s="99">
        <f>MAX('Population Model'!AF4:AF103)</f>
        <v>95.491892770728768</v>
      </c>
      <c r="D33" s="54">
        <f>MIN('Population Model'!AF2:AF103)</f>
        <v>51.86802454198066</v>
      </c>
      <c r="E33" s="99">
        <f>AVERAGE('Population Model'!AF2:AF103)</f>
        <v>76.564310652478284</v>
      </c>
      <c r="F33">
        <f t="shared" si="1"/>
        <v>9.5491892770728768</v>
      </c>
      <c r="G33">
        <f t="shared" si="2"/>
        <v>85.942703493655898</v>
      </c>
      <c r="H33">
        <v>0.1</v>
      </c>
      <c r="I33">
        <f>1-H33</f>
        <v>0.9</v>
      </c>
      <c r="J33">
        <f>$J$3*K33</f>
        <v>120</v>
      </c>
      <c r="K33">
        <f>LOOKUP($J$5,$M$3:$M$6,$T$3:$T$6)*$J$8</f>
        <v>0.24</v>
      </c>
      <c r="L33" s="7">
        <v>0.1</v>
      </c>
      <c r="M33">
        <v>95.3</v>
      </c>
      <c r="N33">
        <f t="shared" si="4"/>
        <v>0.99904700000000002</v>
      </c>
      <c r="O33">
        <f t="shared" si="5"/>
        <v>0.99904700000000002</v>
      </c>
      <c r="P33">
        <f t="shared" si="6"/>
        <v>9.5299999999998164E-4</v>
      </c>
      <c r="Q33"/>
      <c r="R33"/>
      <c r="S33"/>
      <c r="T33"/>
      <c r="U33"/>
      <c r="V33"/>
      <c r="W33"/>
      <c r="Z33" s="7"/>
      <c r="AA33" s="7"/>
    </row>
    <row r="34" spans="1:27">
      <c r="B34" t="s">
        <v>735</v>
      </c>
      <c r="C34">
        <f>MAX('Population Model'!AG4:AG103)</f>
        <v>81.743426536253267</v>
      </c>
      <c r="D34" s="99">
        <f>MIN('Population Model'!AG2:AG103)</f>
        <v>45.154024771390318</v>
      </c>
      <c r="E34" s="54">
        <f>AVERAGE('Population Model'!AG2:AG103)</f>
        <v>73.834820209231708</v>
      </c>
      <c r="F34">
        <f t="shared" si="1"/>
        <v>8.1743426536253274</v>
      </c>
      <c r="G34">
        <f t="shared" si="2"/>
        <v>73.569083882627936</v>
      </c>
      <c r="H34">
        <v>0.1</v>
      </c>
      <c r="I34">
        <f>1-H34</f>
        <v>0.9</v>
      </c>
      <c r="J34">
        <f>$J$3*K34</f>
        <v>80.000000000000014</v>
      </c>
      <c r="K34">
        <f>LOOKUP($J$5,$M$3:$M$6,$T$3:$T$6)*$J$7</f>
        <v>0.16000000000000003</v>
      </c>
      <c r="L34" s="7">
        <v>0.1</v>
      </c>
      <c r="M34">
        <v>95.3</v>
      </c>
      <c r="N34">
        <f t="shared" si="4"/>
        <v>0.99904700000000002</v>
      </c>
      <c r="O34"/>
      <c r="P34">
        <f t="shared" si="6"/>
        <v>9.5299999999998164E-4</v>
      </c>
      <c r="Q34">
        <v>88</v>
      </c>
      <c r="R34">
        <v>100</v>
      </c>
      <c r="S34">
        <v>12</v>
      </c>
      <c r="T34"/>
      <c r="U34"/>
      <c r="V34"/>
      <c r="W34"/>
      <c r="Z34" s="7"/>
      <c r="AA34" s="7"/>
    </row>
    <row r="35" spans="1:27">
      <c r="A35" s="99">
        <f>A33+7</f>
        <v>28</v>
      </c>
      <c r="B35" s="99" t="s">
        <v>733</v>
      </c>
      <c r="C35" s="99">
        <f>MAX('Population Model'!AH4:AH103)</f>
        <v>92.501633273406227</v>
      </c>
      <c r="D35">
        <f>MIN('Population Model'!AH2:AH103)</f>
        <v>67.5</v>
      </c>
      <c r="E35" s="99">
        <f>AVERAGE('Population Model'!AH2:AH103)</f>
        <v>80.015293044367411</v>
      </c>
      <c r="F35">
        <f t="shared" si="1"/>
        <v>18.500326654681245</v>
      </c>
      <c r="G35">
        <f t="shared" si="2"/>
        <v>74.001306618724982</v>
      </c>
      <c r="H35">
        <v>0.2</v>
      </c>
      <c r="I35">
        <f t="shared" ref="I35:I46" si="7">1-H35</f>
        <v>0.8</v>
      </c>
      <c r="J35">
        <f t="shared" ref="J35:J43" si="8">$J$3*K35</f>
        <v>67.5</v>
      </c>
      <c r="K35">
        <f>LOOKUP($J$5,$M$3:$M$6,$U$3:$U$6)*$J$8</f>
        <v>0.13500000000000001</v>
      </c>
      <c r="L35" s="7">
        <v>0.15</v>
      </c>
      <c r="M35">
        <v>192</v>
      </c>
      <c r="N35">
        <f t="shared" si="4"/>
        <v>0.99807999999999997</v>
      </c>
      <c r="O35">
        <f t="shared" si="5"/>
        <v>0.99807999999999997</v>
      </c>
      <c r="P35">
        <f t="shared" si="6"/>
        <v>1.9200000000000328E-3</v>
      </c>
      <c r="Q35"/>
      <c r="R35"/>
      <c r="S35"/>
      <c r="T35"/>
      <c r="U35"/>
      <c r="V35"/>
      <c r="W35"/>
      <c r="Z35" s="7"/>
      <c r="AA35" s="7"/>
    </row>
    <row r="36" spans="1:27">
      <c r="B36" t="s">
        <v>735</v>
      </c>
      <c r="C36">
        <f>MAX('Population Model'!AI4:AI103)</f>
        <v>80.716636086851224</v>
      </c>
      <c r="D36" s="99">
        <f>MIN('Population Model'!AI2:AI103)</f>
        <v>45.000000000000007</v>
      </c>
      <c r="E36">
        <f>AVERAGE('Population Model'!AI2:AI103)</f>
        <v>75.792933910025411</v>
      </c>
      <c r="F36">
        <f t="shared" si="1"/>
        <v>16.143327217370246</v>
      </c>
      <c r="G36">
        <f t="shared" si="2"/>
        <v>64.573308869480982</v>
      </c>
      <c r="H36">
        <v>0.2</v>
      </c>
      <c r="I36">
        <f t="shared" si="7"/>
        <v>0.8</v>
      </c>
      <c r="J36">
        <f t="shared" si="8"/>
        <v>45.000000000000007</v>
      </c>
      <c r="K36">
        <f>LOOKUP($J$5,$M$3:$M$6,$U$3:$U$6)*$J$7</f>
        <v>9.0000000000000011E-2</v>
      </c>
      <c r="L36" s="7">
        <v>0.15</v>
      </c>
      <c r="M36">
        <v>192</v>
      </c>
      <c r="N36">
        <f t="shared" si="4"/>
        <v>0.99807999999999997</v>
      </c>
      <c r="O36"/>
      <c r="P36">
        <f t="shared" si="6"/>
        <v>1.9200000000000328E-3</v>
      </c>
      <c r="Q36">
        <v>88</v>
      </c>
      <c r="R36">
        <v>100</v>
      </c>
      <c r="S36">
        <v>29</v>
      </c>
      <c r="T36"/>
      <c r="U36"/>
      <c r="V36"/>
      <c r="W36"/>
      <c r="Z36" s="7"/>
      <c r="AA36" s="7"/>
    </row>
    <row r="37" spans="1:27">
      <c r="A37" s="99">
        <f>A35+7</f>
        <v>35</v>
      </c>
      <c r="B37" s="99" t="s">
        <v>733</v>
      </c>
      <c r="C37" s="99">
        <f>MAX('Population Model'!AJ4:AJ103)</f>
        <v>84.844665112818276</v>
      </c>
      <c r="D37">
        <f>MIN('Population Model'!AJ2:AJ103)</f>
        <v>15</v>
      </c>
      <c r="E37" s="99">
        <f>AVERAGE('Population Model'!AJ2:AJ103)</f>
        <v>76.333266153537238</v>
      </c>
      <c r="F37">
        <f t="shared" si="1"/>
        <v>42.422332556409138</v>
      </c>
      <c r="G37">
        <f t="shared" si="2"/>
        <v>42.422332556409138</v>
      </c>
      <c r="H37">
        <v>0.5</v>
      </c>
      <c r="I37">
        <f t="shared" si="7"/>
        <v>0.5</v>
      </c>
      <c r="J37">
        <f t="shared" si="8"/>
        <v>15</v>
      </c>
      <c r="K37">
        <f>LOOKUP($J$5,$M$3:$M$6,$V$3:$V$6)*$J$8</f>
        <v>0.03</v>
      </c>
      <c r="L37" s="7">
        <v>0.05</v>
      </c>
      <c r="M37">
        <v>192</v>
      </c>
      <c r="N37">
        <f t="shared" si="4"/>
        <v>0.99807999999999997</v>
      </c>
      <c r="O37">
        <f t="shared" si="5"/>
        <v>0.99807999999999997</v>
      </c>
      <c r="P37">
        <f t="shared" si="6"/>
        <v>1.9200000000000328E-3</v>
      </c>
      <c r="Q37"/>
      <c r="R37"/>
      <c r="S37"/>
      <c r="T37"/>
      <c r="U37"/>
      <c r="V37"/>
      <c r="W37"/>
      <c r="Z37" s="7"/>
      <c r="AA37" s="7"/>
    </row>
    <row r="38" spans="1:27">
      <c r="B38" t="s">
        <v>735</v>
      </c>
      <c r="C38">
        <f>MAX('Population Model'!AK4:AK103)</f>
        <v>79.59196027008781</v>
      </c>
      <c r="D38" s="99">
        <f>MIN('Population Model'!AK2:AK103)</f>
        <v>10.000000000000002</v>
      </c>
      <c r="E38">
        <f>AVERAGE('Population Model'!AK2:AK103)</f>
        <v>71.827832082855238</v>
      </c>
      <c r="F38">
        <f t="shared" si="1"/>
        <v>39.795980135043905</v>
      </c>
      <c r="G38">
        <f t="shared" si="2"/>
        <v>39.795980135043905</v>
      </c>
      <c r="H38">
        <v>0.5</v>
      </c>
      <c r="I38">
        <f t="shared" si="7"/>
        <v>0.5</v>
      </c>
      <c r="J38">
        <f t="shared" si="8"/>
        <v>10.000000000000002</v>
      </c>
      <c r="K38">
        <f>LOOKUP($J$5,$M$3:$M$6,$V$3:$V$6)*$J$7</f>
        <v>2.0000000000000004E-2</v>
      </c>
      <c r="L38" s="7">
        <v>0.05</v>
      </c>
      <c r="M38">
        <v>192</v>
      </c>
      <c r="N38">
        <f t="shared" si="4"/>
        <v>0.99807999999999997</v>
      </c>
      <c r="O38"/>
      <c r="P38">
        <f t="shared" si="6"/>
        <v>1.9200000000000328E-3</v>
      </c>
      <c r="Q38">
        <v>88</v>
      </c>
      <c r="R38">
        <v>88</v>
      </c>
      <c r="S38">
        <v>29</v>
      </c>
      <c r="T38"/>
      <c r="U38"/>
      <c r="V38"/>
      <c r="W38"/>
      <c r="Z38" s="7"/>
      <c r="AA38" s="7"/>
    </row>
    <row r="39" spans="1:27">
      <c r="A39" s="99">
        <f>A37+7</f>
        <v>42</v>
      </c>
      <c r="B39" s="99" t="s">
        <v>733</v>
      </c>
      <c r="C39" s="99">
        <f>MAX('Population Model'!AL4:AL103)</f>
        <v>86.326801992793378</v>
      </c>
      <c r="D39">
        <f>MIN('Population Model'!AL2:AL103)</f>
        <v>15</v>
      </c>
      <c r="E39" s="99">
        <f>AVERAGE('Population Model'!AL2:AL103)</f>
        <v>72.779044771161949</v>
      </c>
      <c r="F39">
        <f t="shared" si="1"/>
        <v>43.163400996396689</v>
      </c>
      <c r="G39">
        <f t="shared" si="2"/>
        <v>43.163400996396689</v>
      </c>
      <c r="H39">
        <v>0.5</v>
      </c>
      <c r="I39">
        <f t="shared" si="7"/>
        <v>0.5</v>
      </c>
      <c r="J39">
        <f t="shared" si="8"/>
        <v>15</v>
      </c>
      <c r="K39">
        <f>LOOKUP($J$5,$M$3:$M$6,$W$3:$W$6)*$J$8</f>
        <v>0.03</v>
      </c>
      <c r="L39" s="7">
        <v>0.05</v>
      </c>
      <c r="M39">
        <v>192</v>
      </c>
      <c r="N39">
        <f t="shared" si="4"/>
        <v>0.99807999999999997</v>
      </c>
      <c r="O39">
        <f t="shared" si="5"/>
        <v>0.99807999999999997</v>
      </c>
      <c r="P39">
        <f t="shared" si="6"/>
        <v>1.9200000000000328E-3</v>
      </c>
      <c r="Q39"/>
      <c r="R39"/>
      <c r="S39"/>
      <c r="T39"/>
      <c r="U39"/>
      <c r="V39"/>
      <c r="W39"/>
      <c r="Z39" s="7"/>
      <c r="AA39" s="7"/>
    </row>
    <row r="40" spans="1:27">
      <c r="B40" t="s">
        <v>735</v>
      </c>
      <c r="C40">
        <f>MAX('Population Model'!AM4:AM103)</f>
        <v>78.416121533369378</v>
      </c>
      <c r="D40" s="99">
        <f>MIN('Population Model'!AM2:AM103)</f>
        <v>10.000000000000002</v>
      </c>
      <c r="E40">
        <f>AVERAGE('Population Model'!AM2:AM103)</f>
        <v>67.994541999979916</v>
      </c>
      <c r="F40">
        <f t="shared" si="1"/>
        <v>39.208060766684689</v>
      </c>
      <c r="G40">
        <f t="shared" si="2"/>
        <v>39.208060766684689</v>
      </c>
      <c r="H40">
        <v>0.5</v>
      </c>
      <c r="I40">
        <f t="shared" si="7"/>
        <v>0.5</v>
      </c>
      <c r="J40">
        <f t="shared" si="8"/>
        <v>10.000000000000002</v>
      </c>
      <c r="K40">
        <f>LOOKUP($J$5,$M$3:$M$6,$W$3:$W$6)*$J$7</f>
        <v>2.0000000000000004E-2</v>
      </c>
      <c r="L40" s="7">
        <v>0.05</v>
      </c>
      <c r="M40">
        <v>192</v>
      </c>
      <c r="N40">
        <f t="shared" si="4"/>
        <v>0.99807999999999997</v>
      </c>
      <c r="O40"/>
      <c r="P40">
        <f t="shared" si="6"/>
        <v>1.9200000000000328E-3</v>
      </c>
      <c r="Q40">
        <v>29</v>
      </c>
      <c r="R40">
        <v>29</v>
      </c>
      <c r="S40">
        <v>29</v>
      </c>
      <c r="T40"/>
      <c r="U40"/>
      <c r="V40"/>
      <c r="W40"/>
      <c r="Z40" s="7"/>
      <c r="AA40" s="7"/>
    </row>
    <row r="41" spans="1:27">
      <c r="A41" s="99">
        <f>A39+7</f>
        <v>49</v>
      </c>
      <c r="B41" s="99" t="s">
        <v>733</v>
      </c>
      <c r="C41" s="99">
        <f>MAX('Population Model'!AN4:AN103)</f>
        <v>83.109405556538746</v>
      </c>
      <c r="D41">
        <f>MIN('Population Model'!AN2:AN103)</f>
        <v>15</v>
      </c>
      <c r="E41" s="99">
        <f>AVERAGE('Population Model'!AN2:AN103)</f>
        <v>69.355899544140613</v>
      </c>
      <c r="F41">
        <f t="shared" si="1"/>
        <v>41.554702778269373</v>
      </c>
      <c r="G41">
        <f t="shared" si="2"/>
        <v>41.554702778269373</v>
      </c>
      <c r="H41">
        <v>0.5</v>
      </c>
      <c r="I41">
        <f t="shared" si="7"/>
        <v>0.5</v>
      </c>
      <c r="J41">
        <f t="shared" si="8"/>
        <v>15</v>
      </c>
      <c r="K41">
        <f>LOOKUP($J$5,$M$3:$M$6,$X$3:$X$6)*$J$8</f>
        <v>0.03</v>
      </c>
      <c r="L41" s="7">
        <v>0.05</v>
      </c>
      <c r="M41">
        <v>192</v>
      </c>
      <c r="N41">
        <f t="shared" si="4"/>
        <v>0.99807999999999997</v>
      </c>
      <c r="O41">
        <f t="shared" si="5"/>
        <v>0.99807999999999997</v>
      </c>
      <c r="P41">
        <f t="shared" si="6"/>
        <v>1.9200000000000328E-3</v>
      </c>
      <c r="Q41"/>
      <c r="R41"/>
      <c r="S41"/>
      <c r="T41"/>
      <c r="U41"/>
      <c r="V41"/>
      <c r="W41"/>
      <c r="Z41" s="7"/>
      <c r="AA41" s="7"/>
    </row>
    <row r="42" spans="1:27">
      <c r="B42" t="s">
        <v>735</v>
      </c>
      <c r="C42">
        <f>MAX('Population Model'!AO4:AO103)</f>
        <v>77.150799928065368</v>
      </c>
      <c r="D42" s="99">
        <f>MIN('Population Model'!AO2:AO103)</f>
        <v>10.000000000000002</v>
      </c>
      <c r="E42">
        <f>AVERAGE('Population Model'!AO2:AO103)</f>
        <v>64.297000979688804</v>
      </c>
      <c r="F42">
        <f t="shared" si="1"/>
        <v>38.575399964032684</v>
      </c>
      <c r="G42">
        <f t="shared" si="2"/>
        <v>38.575399964032684</v>
      </c>
      <c r="H42">
        <v>0.5</v>
      </c>
      <c r="I42">
        <f t="shared" si="7"/>
        <v>0.5</v>
      </c>
      <c r="J42">
        <f t="shared" si="8"/>
        <v>10.000000000000002</v>
      </c>
      <c r="K42">
        <f>LOOKUP($J$5,$M$3:$M$6,$X$3:$X$6)*$J$7</f>
        <v>2.0000000000000004E-2</v>
      </c>
      <c r="L42" s="7">
        <v>0.05</v>
      </c>
      <c r="M42">
        <v>192</v>
      </c>
      <c r="N42">
        <f t="shared" si="4"/>
        <v>0.99807999999999997</v>
      </c>
      <c r="O42"/>
      <c r="P42">
        <f t="shared" si="6"/>
        <v>1.9200000000000328E-3</v>
      </c>
      <c r="Q42">
        <v>29</v>
      </c>
      <c r="R42">
        <v>29</v>
      </c>
      <c r="S42">
        <v>29</v>
      </c>
      <c r="T42"/>
      <c r="U42"/>
      <c r="V42"/>
      <c r="W42"/>
      <c r="Z42" s="7"/>
      <c r="AA42" s="7"/>
    </row>
    <row r="43" spans="1:27">
      <c r="A43" s="6">
        <f>A41+7</f>
        <v>56</v>
      </c>
      <c r="C43">
        <f>MAX('Population Model'!AP4:AP103)</f>
        <v>146.98664128331714</v>
      </c>
      <c r="D43">
        <f>MIN('Population Model'!AP2:AP103)</f>
        <v>15</v>
      </c>
      <c r="E43" s="99">
        <f>AVERAGE('Population Model'!AP2:AP103)</f>
        <v>119.14906586255985</v>
      </c>
      <c r="F43">
        <f t="shared" si="1"/>
        <v>58.794656513326856</v>
      </c>
      <c r="G43">
        <f t="shared" si="2"/>
        <v>88.191984769990285</v>
      </c>
      <c r="H43">
        <v>0.4</v>
      </c>
      <c r="I43">
        <f t="shared" si="7"/>
        <v>0.6</v>
      </c>
      <c r="J43">
        <f t="shared" si="8"/>
        <v>15</v>
      </c>
      <c r="K43">
        <f>LOOKUP($J$5,$M$3:$M$6,$Y$3:$Y$6)*$J$8</f>
        <v>0.03</v>
      </c>
      <c r="L43" s="7">
        <v>0.05</v>
      </c>
      <c r="M43">
        <v>725</v>
      </c>
      <c r="N43">
        <f t="shared" si="4"/>
        <v>0.99275000000000002</v>
      </c>
      <c r="O43">
        <f t="shared" si="5"/>
        <v>0.99275000000000002</v>
      </c>
      <c r="P43">
        <f t="shared" si="6"/>
        <v>7.2499999999999787E-3</v>
      </c>
      <c r="Q43"/>
      <c r="R43"/>
      <c r="S43"/>
      <c r="T43"/>
      <c r="U43"/>
      <c r="V43"/>
      <c r="W43"/>
      <c r="Z43" s="7"/>
      <c r="AA43" s="7"/>
    </row>
    <row r="44" spans="1:27">
      <c r="A44" s="6">
        <f>A43+7</f>
        <v>63</v>
      </c>
      <c r="C44">
        <f>MAX('Population Model'!AQ4:AQ103)</f>
        <v>139.06614588615361</v>
      </c>
      <c r="D44">
        <f>MIN('Population Model'!AR2:AR103)</f>
        <v>4.9523233034999992</v>
      </c>
      <c r="E44">
        <f>AVERAGE('Population Model'!AQ2:AQ103)</f>
        <v>104.42006850065475</v>
      </c>
      <c r="F44">
        <f t="shared" si="1"/>
        <v>41.719843765846079</v>
      </c>
      <c r="G44">
        <f t="shared" si="2"/>
        <v>97.346302120307513</v>
      </c>
      <c r="H44">
        <v>0.3</v>
      </c>
      <c r="I44">
        <f t="shared" si="7"/>
        <v>0.7</v>
      </c>
      <c r="J44">
        <f t="shared" si="3"/>
        <v>3.3333333333333339</v>
      </c>
      <c r="K44">
        <f>LOOKUP($J$5,$M$3:$M$6,$Y$3:$Y$6)*$J$7</f>
        <v>2.0000000000000004E-2</v>
      </c>
      <c r="M44">
        <v>725</v>
      </c>
      <c r="N44">
        <f t="shared" si="4"/>
        <v>0.99275000000000002</v>
      </c>
      <c r="O44">
        <f t="shared" si="5"/>
        <v>0.99275000000000002</v>
      </c>
      <c r="P44">
        <f t="shared" si="6"/>
        <v>7.2499999999999787E-3</v>
      </c>
      <c r="Q44"/>
      <c r="R44"/>
      <c r="S44"/>
      <c r="T44"/>
      <c r="U44"/>
      <c r="V44"/>
      <c r="W44"/>
      <c r="Z44" s="7"/>
      <c r="AA44" s="7"/>
    </row>
    <row r="45" spans="1:27">
      <c r="A45" s="6">
        <f>A44+7</f>
        <v>70</v>
      </c>
      <c r="C45">
        <f>MAX('Population Model'!AR4:AR103)</f>
        <v>105.41893822086664</v>
      </c>
      <c r="D45">
        <f>MIN('Population Model'!AS2:AS103)</f>
        <v>5.8333333333333321</v>
      </c>
      <c r="E45">
        <f>AVERAGE('Population Model'!AR2:AR103)</f>
        <v>74.300146636336109</v>
      </c>
      <c r="F45">
        <f t="shared" si="1"/>
        <v>10.541893822086664</v>
      </c>
      <c r="G45">
        <f t="shared" si="2"/>
        <v>94.877044398779972</v>
      </c>
      <c r="H45">
        <v>0.1</v>
      </c>
      <c r="I45">
        <f t="shared" si="7"/>
        <v>0.9</v>
      </c>
      <c r="J45">
        <f t="shared" si="3"/>
        <v>5.8333333333333321</v>
      </c>
      <c r="K45">
        <f>LOOKUP($J$5,$M$3:$M$6,$Z$3:$Z$6)*0.7</f>
        <v>3.4999999999999996E-2</v>
      </c>
      <c r="M45">
        <v>5052</v>
      </c>
      <c r="N45">
        <f t="shared" si="4"/>
        <v>0.94947999999999999</v>
      </c>
      <c r="O45">
        <f t="shared" si="5"/>
        <v>0.94947999999999999</v>
      </c>
      <c r="P45">
        <f t="shared" si="6"/>
        <v>5.0520000000000009E-2</v>
      </c>
      <c r="Q45"/>
      <c r="R45"/>
      <c r="S45"/>
      <c r="T45"/>
      <c r="U45"/>
      <c r="V45"/>
      <c r="W45"/>
      <c r="Z45" s="7"/>
      <c r="AA45" s="7"/>
    </row>
    <row r="46" spans="1:27">
      <c r="A46" s="6">
        <v>77</v>
      </c>
      <c r="C46">
        <f>MAX('Population Model'!AS4:AS103)</f>
        <v>271.57586895452317</v>
      </c>
      <c r="D46">
        <f>MIN('Population Model'!AT3:AT103)</f>
        <v>0</v>
      </c>
      <c r="E46">
        <f>AVERAGE('Population Model'!AS2:AS103)</f>
        <v>147.80436116406676</v>
      </c>
      <c r="F46">
        <f t="shared" si="1"/>
        <v>27.157586895452319</v>
      </c>
      <c r="G46">
        <f t="shared" si="2"/>
        <v>244.41828205907086</v>
      </c>
      <c r="H46">
        <v>0.1</v>
      </c>
      <c r="I46">
        <f t="shared" si="7"/>
        <v>0.9</v>
      </c>
      <c r="J46">
        <f t="shared" si="3"/>
        <v>5.8333333333333321</v>
      </c>
      <c r="K46">
        <f>LOOKUP($J$5,$M$3:$M$6,$Z$3:$Z$6)*0.7</f>
        <v>3.4999999999999996E-2</v>
      </c>
      <c r="M46">
        <v>5052</v>
      </c>
      <c r="N46">
        <f t="shared" si="4"/>
        <v>0.94947999999999999</v>
      </c>
      <c r="O46">
        <f t="shared" si="5"/>
        <v>0.94947999999999999</v>
      </c>
      <c r="P46">
        <f t="shared" si="6"/>
        <v>5.0520000000000009E-2</v>
      </c>
      <c r="Q46"/>
      <c r="R46"/>
      <c r="S46"/>
      <c r="T46"/>
      <c r="U46"/>
      <c r="V46"/>
      <c r="W46"/>
      <c r="Z46" s="7"/>
      <c r="AA46" s="7"/>
    </row>
    <row r="47" spans="1:27">
      <c r="A47">
        <v>84</v>
      </c>
      <c r="M47">
        <v>5052</v>
      </c>
      <c r="N47">
        <f t="shared" si="4"/>
        <v>0.94947999999999999</v>
      </c>
      <c r="O47">
        <f t="shared" si="5"/>
        <v>0.94947999999999999</v>
      </c>
      <c r="P47">
        <f t="shared" ref="P47" si="9">1-N47</f>
        <v>5.0520000000000009E-2</v>
      </c>
      <c r="X47"/>
      <c r="Y47"/>
    </row>
    <row r="48" spans="1:27">
      <c r="A48">
        <v>91</v>
      </c>
      <c r="M48">
        <v>5052</v>
      </c>
      <c r="N48"/>
      <c r="O48">
        <f t="shared" ref="O48:O50" si="10">POWER(N48,7)</f>
        <v>0</v>
      </c>
      <c r="X48"/>
      <c r="Y48"/>
    </row>
    <row r="49" spans="1:28">
      <c r="A49" s="6">
        <v>100</v>
      </c>
      <c r="M49">
        <v>5052</v>
      </c>
      <c r="N49"/>
      <c r="O49">
        <f t="shared" si="10"/>
        <v>0</v>
      </c>
      <c r="X49"/>
      <c r="Y49"/>
    </row>
    <row r="50" spans="1:28">
      <c r="A50" s="6">
        <v>107</v>
      </c>
      <c r="M50">
        <v>5052</v>
      </c>
      <c r="N50"/>
      <c r="O50">
        <f t="shared" si="10"/>
        <v>0</v>
      </c>
      <c r="X50"/>
      <c r="Y50"/>
    </row>
    <row r="52" spans="1:28">
      <c r="A52" t="s">
        <v>897</v>
      </c>
      <c r="F52" s="7">
        <v>12</v>
      </c>
      <c r="Z52" s="7"/>
      <c r="AA52" s="7"/>
      <c r="AB52" s="7"/>
    </row>
    <row r="53" spans="1:28">
      <c r="A53" s="7">
        <v>1</v>
      </c>
      <c r="B53" s="7">
        <v>7.6999999999999999E-2</v>
      </c>
      <c r="D53" s="7" t="s">
        <v>898</v>
      </c>
      <c r="E53" s="7" t="s">
        <v>899</v>
      </c>
      <c r="F53" s="7" t="s">
        <v>900</v>
      </c>
      <c r="Z53" s="7"/>
      <c r="AA53" s="7"/>
      <c r="AB53" s="7"/>
    </row>
    <row r="54" spans="1:28">
      <c r="A54" s="7">
        <v>2</v>
      </c>
      <c r="B54" s="7">
        <v>1.228</v>
      </c>
      <c r="C54" s="7">
        <v>0</v>
      </c>
      <c r="D54" s="7">
        <v>1</v>
      </c>
      <c r="E54" s="7">
        <v>1</v>
      </c>
      <c r="F54" s="7">
        <f>E54*$F$52</f>
        <v>12</v>
      </c>
      <c r="Z54" s="7"/>
      <c r="AA54" s="7"/>
      <c r="AB54" s="7"/>
    </row>
    <row r="55" spans="1:28">
      <c r="A55" s="7">
        <v>3</v>
      </c>
      <c r="B55" s="7">
        <v>6.218</v>
      </c>
      <c r="C55" s="7">
        <f>C54+1</f>
        <v>1</v>
      </c>
      <c r="D55" s="7">
        <f>F54*0.5*0.85</f>
        <v>5.0999999999999996</v>
      </c>
      <c r="E55" s="7">
        <f>F54*0.5*0.85</f>
        <v>5.0999999999999996</v>
      </c>
      <c r="F55" s="7">
        <f t="shared" ref="F55:F58" si="11">E55*$F$52</f>
        <v>61.199999999999996</v>
      </c>
      <c r="G55" s="7">
        <f>F55*4</f>
        <v>244.79999999999998</v>
      </c>
      <c r="Z55" s="7"/>
      <c r="AA55" s="7"/>
      <c r="AB55" s="7"/>
    </row>
    <row r="56" spans="1:28">
      <c r="A56" s="7">
        <v>4</v>
      </c>
      <c r="B56" s="7">
        <v>19.649999999999999</v>
      </c>
      <c r="C56" s="7">
        <f>C55+1</f>
        <v>2</v>
      </c>
      <c r="D56" s="7">
        <f t="shared" ref="D56:D58" si="12">F55*0.5*0.85</f>
        <v>26.009999999999998</v>
      </c>
      <c r="E56" s="7">
        <f t="shared" ref="E56:E58" si="13">F55*0.5*0.85</f>
        <v>26.009999999999998</v>
      </c>
      <c r="F56" s="7">
        <f t="shared" si="11"/>
        <v>312.12</v>
      </c>
      <c r="Z56" s="7"/>
      <c r="AA56" s="7"/>
      <c r="AB56" s="7"/>
    </row>
    <row r="57" spans="1:28">
      <c r="A57" s="7">
        <v>5</v>
      </c>
      <c r="B57" s="7">
        <v>47.98</v>
      </c>
      <c r="C57" s="7">
        <f>C56+1</f>
        <v>3</v>
      </c>
      <c r="D57" s="7">
        <f t="shared" si="12"/>
        <v>132.65100000000001</v>
      </c>
      <c r="E57" s="7">
        <f t="shared" si="13"/>
        <v>132.65100000000001</v>
      </c>
      <c r="F57" s="7">
        <f t="shared" si="11"/>
        <v>1591.8120000000001</v>
      </c>
      <c r="Z57" s="7"/>
      <c r="AA57" s="7"/>
      <c r="AB57" s="7"/>
    </row>
    <row r="58" spans="1:28">
      <c r="A58" s="7">
        <v>6</v>
      </c>
      <c r="B58" s="7">
        <v>99.49</v>
      </c>
      <c r="C58" s="7">
        <f>C57+1</f>
        <v>4</v>
      </c>
      <c r="D58" s="7">
        <f t="shared" si="12"/>
        <v>676.52010000000007</v>
      </c>
      <c r="E58" s="7">
        <f t="shared" si="13"/>
        <v>676.52010000000007</v>
      </c>
      <c r="F58" s="7">
        <f t="shared" si="11"/>
        <v>8118.2412000000004</v>
      </c>
      <c r="Z58" s="7"/>
      <c r="AA58" s="7"/>
      <c r="AB58" s="7"/>
    </row>
    <row r="59" spans="1:28">
      <c r="A59" s="7">
        <v>7</v>
      </c>
      <c r="B59" s="7">
        <v>184.3</v>
      </c>
      <c r="AB59" s="7"/>
    </row>
    <row r="60" spans="1:28">
      <c r="A60" s="7">
        <v>8</v>
      </c>
      <c r="B60" s="7">
        <v>314.39999999999998</v>
      </c>
    </row>
    <row r="61" spans="1:28">
      <c r="A61" s="7">
        <v>9</v>
      </c>
      <c r="B61" s="7">
        <v>503.7</v>
      </c>
    </row>
    <row r="62" spans="1:28">
      <c r="A62" s="7">
        <v>10</v>
      </c>
      <c r="B62" s="7">
        <v>767.7</v>
      </c>
    </row>
    <row r="63" spans="1:28">
      <c r="A63" s="7">
        <v>11</v>
      </c>
      <c r="B63" s="7">
        <v>1124</v>
      </c>
    </row>
    <row r="64" spans="1:28">
      <c r="A64" s="7">
        <v>12</v>
      </c>
      <c r="B64" s="7">
        <v>1592</v>
      </c>
    </row>
    <row r="122" spans="22:22">
      <c r="V122" s="12"/>
    </row>
  </sheetData>
  <sortState ref="L9:M12">
    <sortCondition ref="L9:L12"/>
  </sortState>
  <pageMargins left="0.7" right="0.7" top="0.75" bottom="0.75" header="0.3" footer="0.3"/>
  <pageSetup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3A4D1-6DA0-1041-9684-297154DE9F89}">
  <dimension ref="A1:AS115"/>
  <sheetViews>
    <sheetView workbookViewId="0"/>
  </sheetViews>
  <sheetFormatPr baseColWidth="10" defaultRowHeight="16"/>
  <cols>
    <col min="1" max="1" width="4.83203125" customWidth="1"/>
    <col min="2" max="2" width="9.83203125" bestFit="1" customWidth="1"/>
    <col min="3" max="3" width="9.83203125" customWidth="1"/>
    <col min="4" max="6" width="5.83203125" customWidth="1"/>
    <col min="7" max="7" width="6" bestFit="1" customWidth="1"/>
    <col min="8" max="10" width="5.83203125" customWidth="1"/>
    <col min="11" max="11" width="8.33203125" bestFit="1" customWidth="1"/>
    <col min="12" max="12" width="7" customWidth="1"/>
    <col min="13" max="14" width="5.83203125" customWidth="1"/>
    <col min="15" max="15" width="7.5" bestFit="1" customWidth="1"/>
    <col min="16" max="16" width="6.6640625" bestFit="1" customWidth="1"/>
    <col min="17" max="17" width="6.6640625" customWidth="1"/>
    <col min="18" max="18" width="6.6640625" bestFit="1" customWidth="1"/>
    <col min="19" max="19" width="5.83203125" customWidth="1"/>
    <col min="20" max="20" width="8.33203125" bestFit="1" customWidth="1"/>
    <col min="21" max="21" width="6.6640625" customWidth="1"/>
    <col min="22" max="23" width="5.33203125" customWidth="1"/>
    <col min="24" max="24" width="6.5" customWidth="1"/>
    <col min="25" max="25" width="8.33203125" customWidth="1"/>
    <col min="26" max="27" width="6.5" customWidth="1"/>
    <col min="28" max="29" width="5.83203125" customWidth="1"/>
    <col min="30" max="30" width="7.6640625" bestFit="1" customWidth="1"/>
    <col min="31" max="44" width="5.83203125" customWidth="1"/>
    <col min="45" max="45" width="8.33203125" bestFit="1" customWidth="1"/>
  </cols>
  <sheetData>
    <row r="1" spans="1:45">
      <c r="A1" s="8" t="s">
        <v>8</v>
      </c>
      <c r="B1" s="8" t="s">
        <v>138</v>
      </c>
      <c r="C1" s="8" t="s">
        <v>802</v>
      </c>
      <c r="D1" s="8" t="s">
        <v>31</v>
      </c>
      <c r="E1" s="8" t="s">
        <v>807</v>
      </c>
      <c r="F1" s="8" t="s">
        <v>782</v>
      </c>
      <c r="G1" s="8" t="s">
        <v>921</v>
      </c>
      <c r="H1" s="8" t="s">
        <v>37</v>
      </c>
      <c r="I1" s="8" t="s">
        <v>39</v>
      </c>
      <c r="J1" s="8" t="s">
        <v>36</v>
      </c>
      <c r="K1" s="8" t="s">
        <v>24</v>
      </c>
      <c r="L1" s="8" t="s">
        <v>639</v>
      </c>
      <c r="M1" s="8" t="s">
        <v>239</v>
      </c>
      <c r="N1" s="8" t="s">
        <v>58</v>
      </c>
      <c r="O1" s="8" t="s">
        <v>774</v>
      </c>
      <c r="P1" s="8"/>
      <c r="Q1" s="8"/>
      <c r="R1" s="8"/>
      <c r="S1" s="8" t="s">
        <v>27</v>
      </c>
      <c r="T1" s="8"/>
      <c r="U1" s="8" t="s">
        <v>769</v>
      </c>
      <c r="V1" s="8" t="s">
        <v>771</v>
      </c>
      <c r="W1" s="8" t="s">
        <v>770</v>
      </c>
      <c r="X1" s="8" t="s">
        <v>764</v>
      </c>
      <c r="Y1" s="8" t="s">
        <v>928</v>
      </c>
      <c r="Z1" s="8" t="s">
        <v>766</v>
      </c>
      <c r="AA1" s="8"/>
      <c r="AB1" s="9">
        <v>0</v>
      </c>
      <c r="AC1" s="10">
        <f>AB1+7</f>
        <v>7</v>
      </c>
      <c r="AD1" s="139">
        <f>AC1+7</f>
        <v>14</v>
      </c>
      <c r="AE1" s="139"/>
      <c r="AF1" s="139">
        <f>AD1+7</f>
        <v>21</v>
      </c>
      <c r="AG1" s="139"/>
      <c r="AH1" s="139">
        <f>AF1+7</f>
        <v>28</v>
      </c>
      <c r="AI1" s="139"/>
      <c r="AJ1" s="139">
        <f>AH1+7</f>
        <v>35</v>
      </c>
      <c r="AK1" s="139"/>
      <c r="AL1" s="139">
        <f>AJ1+7</f>
        <v>42</v>
      </c>
      <c r="AM1" s="139"/>
      <c r="AN1" s="139">
        <f>AL1+7</f>
        <v>49</v>
      </c>
      <c r="AO1" s="139"/>
      <c r="AP1" s="6">
        <f>AN1+7</f>
        <v>56</v>
      </c>
      <c r="AQ1" s="6">
        <f>AP1+7</f>
        <v>63</v>
      </c>
      <c r="AR1" s="6">
        <f>AQ1+7</f>
        <v>70</v>
      </c>
      <c r="AS1" s="6" t="s">
        <v>38</v>
      </c>
    </row>
    <row r="2" spans="1:45">
      <c r="A2" s="100"/>
      <c r="B2" s="101">
        <f>FLOOR(SUM(AB2:AS2),1)</f>
        <v>500</v>
      </c>
      <c r="C2" s="101"/>
      <c r="D2" s="101">
        <v>0</v>
      </c>
      <c r="E2" s="101"/>
      <c r="F2" s="101"/>
      <c r="G2" s="100"/>
      <c r="H2" s="102">
        <f>FLOOR(AG2+AI2+AK2+AM2+AO2,1)</f>
        <v>155</v>
      </c>
      <c r="I2" s="102"/>
      <c r="J2" s="101"/>
      <c r="K2" s="100"/>
      <c r="L2" s="101">
        <f>SUM(G1:G2)/H2</f>
        <v>0</v>
      </c>
      <c r="M2" s="101">
        <f>(AF2+AG2+AH2+AI2+AJ2+AK2)/21*0.5</f>
        <v>8.0357142857142865</v>
      </c>
      <c r="N2" s="101">
        <f t="shared" ref="N2:N33" si="0">I2/B2</f>
        <v>0</v>
      </c>
      <c r="O2" s="101" t="s">
        <v>773</v>
      </c>
      <c r="P2" s="101" t="s">
        <v>775</v>
      </c>
      <c r="Q2" s="101" t="s">
        <v>854</v>
      </c>
      <c r="R2" s="101"/>
      <c r="S2" s="101">
        <f>SUM(AS2:AS2)/B2</f>
        <v>1.1666666666666664E-2</v>
      </c>
      <c r="T2" s="101">
        <f t="shared" ref="T2:T33" si="1">X2/H2</f>
        <v>0.90000000000000013</v>
      </c>
      <c r="U2" s="101"/>
      <c r="V2" s="101"/>
      <c r="W2" s="101"/>
      <c r="X2" s="101">
        <f>Population!J12</f>
        <v>139.50000000000003</v>
      </c>
      <c r="Y2" s="101"/>
      <c r="Z2" s="102">
        <f>(AF2+AH2+AJ2+AL2+AN2)-X2</f>
        <v>92.999999999999972</v>
      </c>
      <c r="AA2" s="102">
        <f>(AG2+AI2+AK2+AM2+AO2)-X2</f>
        <v>15.5</v>
      </c>
      <c r="AB2" s="18">
        <f>Population!J29</f>
        <v>27.5</v>
      </c>
      <c r="AC2" s="18">
        <f>Population!J30</f>
        <v>27.5</v>
      </c>
      <c r="AD2" s="14">
        <f>Population!J31</f>
        <v>13.75</v>
      </c>
      <c r="AE2" s="13">
        <f>Population!J32</f>
        <v>13.75</v>
      </c>
      <c r="AF2" s="14">
        <f>Population!J33</f>
        <v>120</v>
      </c>
      <c r="AG2" s="13">
        <f>Population!J34</f>
        <v>80.000000000000014</v>
      </c>
      <c r="AH2" s="14">
        <f>Population!J35</f>
        <v>67.5</v>
      </c>
      <c r="AI2" s="13">
        <f>Population!J36</f>
        <v>45.000000000000007</v>
      </c>
      <c r="AJ2" s="14">
        <f>Population!J37</f>
        <v>15</v>
      </c>
      <c r="AK2" s="13">
        <f>Population!J38</f>
        <v>10.000000000000002</v>
      </c>
      <c r="AL2" s="14">
        <f>Population!J39</f>
        <v>15</v>
      </c>
      <c r="AM2" s="13">
        <f>Population!J40</f>
        <v>10.000000000000002</v>
      </c>
      <c r="AN2" s="14">
        <f>Population!J41</f>
        <v>15</v>
      </c>
      <c r="AO2" s="13">
        <f>Population!J42</f>
        <v>10.000000000000002</v>
      </c>
      <c r="AP2" s="15">
        <f>Population!J43</f>
        <v>15</v>
      </c>
      <c r="AQ2" s="15">
        <f>Population!J44</f>
        <v>3.3333333333333339</v>
      </c>
      <c r="AR2" s="5">
        <f>Population!J45</f>
        <v>5.8333333333333321</v>
      </c>
      <c r="AS2" s="5">
        <f>Population!J46</f>
        <v>5.8333333333333321</v>
      </c>
    </row>
    <row r="3" spans="1:45">
      <c r="A3">
        <v>0</v>
      </c>
      <c r="B3" s="4">
        <f>FLOOR(SUM(AB3:AS3),1)</f>
        <v>541</v>
      </c>
      <c r="C3" s="54">
        <f t="shared" ref="C3:C34" si="2">FLOOR(B3-I3-G3-SUM(AP3:AS3),1)</f>
        <v>402</v>
      </c>
      <c r="D3" s="12">
        <f>AE2*Population!$Q$32*Population!$C$2+AG2*Population!$Q$34*Population!$C$2+AI2*Population!$Q$36*Population!$C$2+AK2*Population!$Q$38*Population!$C$2+AM2*Population!$Q$40*Population!$C$2+AO1*Population!$Q$42*Population!$C$2</f>
        <v>12.335000000000001</v>
      </c>
      <c r="E3" s="12">
        <f>IF(B2&gt;Population!$B$6*Population!$B$15,Population!$B$8,IF(Population!$J$6=1,D3,Population!$B$8*Population!$B$6*0.9/B2))</f>
        <v>23.761836638153017</v>
      </c>
      <c r="F3" s="12">
        <f>IF(B2&gt;Population!$B$6*0.75,Population!$B$8,E3)</f>
        <v>23.761836638153017</v>
      </c>
      <c r="G3" s="15">
        <f>IF(Population!$J$6=1,IF(E3&gt;H2,H2,E3),IF(E3&gt;X2,X2,E3))</f>
        <v>23.761836638153017</v>
      </c>
      <c r="H3" s="15">
        <f>FLOOR(AG2+AI2+AK2+AM2+AO2,1)</f>
        <v>155</v>
      </c>
      <c r="I3" s="15">
        <f>FLOOR(SUM(AB2:AE2),1)</f>
        <v>82</v>
      </c>
      <c r="J3" s="12">
        <f t="shared" ref="J3:J33" si="3">I3/H3</f>
        <v>0.52903225806451615</v>
      </c>
      <c r="K3" s="12">
        <f>AB3*Population!$P$29+AC3*Population!$P$30+AD3*Population!$P$31+AE3*Population!$P$32+AF3*Population!$P$33+AG3*Population!$P$34+AH3*Population!$P$35+AI3*Population!$P$36+AJ3*Population!$P$37+AK3*Population!$P$38+AL3*Population!$P$39+AM3*Population!$P$40+AN3*Population!$P$41+AO3*Population!$P$42+AP3*Population!$P$43+AQ3*Population!$P$44+AR3*Population!$P$45+AS3*Population!$P$46</f>
        <v>1.3926684540450949</v>
      </c>
      <c r="L3" s="12">
        <f>G3/H3</f>
        <v>0.15330217185905173</v>
      </c>
      <c r="M3" s="12">
        <f>(AF2+AG2+AH2+AI2+AJ2+AK2)/21*0.5</f>
        <v>8.0357142857142865</v>
      </c>
      <c r="N3" s="12">
        <f t="shared" si="0"/>
        <v>0.15157116451016636</v>
      </c>
      <c r="O3" s="12">
        <f>B3-I3-P3*2-Q3*2</f>
        <v>176.49542857142848</v>
      </c>
      <c r="P3" s="12">
        <f>CEILING(I3/2.4,1)</f>
        <v>35</v>
      </c>
      <c r="Q3" s="12">
        <f>X3-P3</f>
        <v>106.25228571428576</v>
      </c>
      <c r="R3" s="12">
        <f>SUM(AS2:AS2)</f>
        <v>5.8333333333333321</v>
      </c>
      <c r="S3" s="12">
        <f>SUM(AS2:AS2)/B3</f>
        <v>1.0782501540357361E-2</v>
      </c>
      <c r="T3" s="12">
        <f t="shared" si="1"/>
        <v>0.91130506912442422</v>
      </c>
      <c r="U3" s="12">
        <f>Population!$B$13*MIN(Z2:AA2)</f>
        <v>3.875</v>
      </c>
      <c r="V3" s="12">
        <f>X2*Population!$B$14</f>
        <v>0.83700000000000019</v>
      </c>
      <c r="W3" s="12">
        <f>AO2*T2*Population!$B$12</f>
        <v>1.2857142857142863</v>
      </c>
      <c r="X3" s="12">
        <f>X2+U3-W3-V3</f>
        <v>141.25228571428576</v>
      </c>
      <c r="Y3" s="12">
        <f>IF(B2&lt;Vehicle!$B$1*0.75,Vehicle!$B$1*0.01,0)</f>
        <v>20</v>
      </c>
      <c r="Z3" s="14">
        <f>(AF2+AH2+AJ2+AL2+AN2)-X3</f>
        <v>91.247714285714238</v>
      </c>
      <c r="AA3" s="13">
        <f>(AG2+AI2+AK2+AM2+AO2)-X3</f>
        <v>13.747714285714267</v>
      </c>
      <c r="AB3" s="18">
        <f>G3+Population!$B$11*AB2*Population!N$29</f>
        <v>47.323695209581587</v>
      </c>
      <c r="AC3" s="18">
        <f>AB2*Population!$B$12*Population!$N$29+AC2*Population!$B$11*Population!$N$30+Y3*Population!$L$30</f>
        <v>28.493101428571428</v>
      </c>
      <c r="AD3" s="14">
        <f>(AC2*Population!$B$12*0.5*Population!$N$30)+(AD2*Population!$B$11*Population!N$31)+Y3*Population!$L$31</f>
        <v>14.738326250000002</v>
      </c>
      <c r="AE3" s="13">
        <f>(AC2*Population!$B$12*0.5*Population!$N$30)+(AE2*Population!$B$11*Population!N$31)+Y3*Population!$L$32</f>
        <v>14.738326250000002</v>
      </c>
      <c r="AF3" s="14">
        <f>(AD2*Population!$B$12*Population!N$31)+(AF2*Population!$B$11*Population!N$33)+Y3*Population!$L$33</f>
        <v>106.72153375000001</v>
      </c>
      <c r="AG3" s="13">
        <f>(AE2*Population!$B$12*Population!N$31)+(AG2*Population!$B$11*Population!N$33)+Y3*Population!$L$34</f>
        <v>72.468493750000007</v>
      </c>
      <c r="AH3" s="14">
        <f>(AF2*Population!$B$12*Population!N$33)+(AH2*Population!$B$11*Population!N$35)+Y3*Population!$L$35</f>
        <v>77.872577142857153</v>
      </c>
      <c r="AI3" s="13">
        <f>(AG2*Population!$B$12*Population!N$33)+(AI2*Population!$B$11*Population!N$35)+Y3*Population!$L$36</f>
        <v>52.915051428571445</v>
      </c>
      <c r="AJ3" s="14">
        <f>(AH2*Population!$B$12*Population!N$35)+(AJ2*Population!$B$11*Population!N$37)+Y3*Population!$L$37</f>
        <v>23.456800000000001</v>
      </c>
      <c r="AK3" s="13">
        <f>(AI2*Population!$B$12*Population!N$35)+(AK2*Population!$B$11*Population!N$37)+Y3*Population!$L$38</f>
        <v>15.9712</v>
      </c>
      <c r="AL3" s="14">
        <f>(AJ2*Population!$B$12*Population!N$37)+(AL2*Population!$B$11*Population!N$39)+Y3*Population!$L$39</f>
        <v>15.9712</v>
      </c>
      <c r="AM3" s="13">
        <f>(AK2*Population!$B$12*Population!N$37)+(AM2*Population!$B$11*Population!N$39)+Y3*Population!$L$40</f>
        <v>10.9808</v>
      </c>
      <c r="AN3" s="14">
        <f>(AL2*Population!$B$12*Population!N$39)+(AN2*Population!$B$11*Population!N$41)+Y3*Population!$L$41</f>
        <v>15.9712</v>
      </c>
      <c r="AO3" s="13">
        <f>(AM2*Population!$B$12*Population!N$39)+(AO2*Population!$B$11*Population!N$41)+Y3*Population!$L$42</f>
        <v>10.9808</v>
      </c>
      <c r="AP3" s="15">
        <f>(AN2+AO2)*Population!$B$12*Population!$N$41+AP2*Population!$B$11*Population!$N$43</f>
        <v>16.328499999999998</v>
      </c>
      <c r="AQ3" s="5">
        <f>AP2*Population!N$43*Population!$B$12+AQ2*Population!$B$11*Population!N$44</f>
        <v>4.963750000000001</v>
      </c>
      <c r="AR3" s="5">
        <f>AQ2*Population!N$44*Population!$B$12+AR2*Population!$B$11*Population!N$45</f>
        <v>5.2201380952380942</v>
      </c>
      <c r="AS3" s="5">
        <f>(AR2*Population!$B$12+AS2)*Population!N$46</f>
        <v>6.329866666666665</v>
      </c>
    </row>
    <row r="4" spans="1:45">
      <c r="A4">
        <f>A3+Population!$B$2</f>
        <v>1</v>
      </c>
      <c r="B4" s="4">
        <f t="shared" ref="B4:B67" si="4">FLOOR(SUM(AB4:AS4),1)</f>
        <v>582</v>
      </c>
      <c r="C4" s="54">
        <f t="shared" si="2"/>
        <v>395</v>
      </c>
      <c r="D4" s="12">
        <f>AE3*Population!$Q$32*Population!$C$2+AG3*Population!$Q$34*Population!$C$2+AI3*Population!$Q$36*Population!$C$2+AK3*Population!$Q$38*Population!$C$2+AM3*Population!$Q$40*Population!$C$2+AO2*Population!$Q$42*Population!$C$2</f>
        <v>13.224520690714286</v>
      </c>
      <c r="E4" s="12">
        <f>IF(B3&gt;Population!$B$6*Population!$B$15,Population!$B$8,IF(Population!$J$6=1,D4,Population!$B$8*Population!$B$6*0.9/B3))</f>
        <v>23.761836638153017</v>
      </c>
      <c r="F4" s="12">
        <f>IF(B3&gt;Population!$B$6*0.75,Population!$B$8,E4)</f>
        <v>23.761836638153017</v>
      </c>
      <c r="G4" s="15">
        <f>IF(Population!$J$6=1,IF(E4&gt;H3,H3,E4),IF(E4&gt;X3,X3,E4))</f>
        <v>23.761836638153017</v>
      </c>
      <c r="H4" s="15">
        <f t="shared" ref="H4:H35" si="5">FLOOR(AG4+AI4+AK4+AM4+AO4,1)</f>
        <v>171</v>
      </c>
      <c r="I4" s="15">
        <f t="shared" ref="I4:I35" si="6">FLOOR(SUM(AB4:AE4),1)</f>
        <v>127</v>
      </c>
      <c r="J4" s="12">
        <f t="shared" si="3"/>
        <v>0.74269005847953218</v>
      </c>
      <c r="K4" s="12">
        <f>AB4*Population!$P$29+AC4*Population!$P$30+AD4*Population!$P$31+AE4*Population!$P$32+AF4*Population!$P$33+AG4*Population!$P$34+AH4*Population!$P$35+AI4*Population!$P$36+AJ4*Population!$P$37+AK4*Population!$P$38+AL4*Population!$P$39+AM4*Population!$P$40+AN4*Population!$P$41+AO4*Population!$P$42+AP4*Population!$P$43+AQ4*Population!$P$44+AR4*Population!$P$45+AS4*Population!$P$46</f>
        <v>1.4770849065422582</v>
      </c>
      <c r="L4" s="12">
        <f t="shared" ref="L4:L67" si="7">G4/H4</f>
        <v>0.13895810899504688</v>
      </c>
      <c r="M4" s="12">
        <f t="shared" ref="M4:M35" si="8">(AF4+AG4+AH4+AI4+AJ4+AK4)/21*0.5</f>
        <v>8.5593631999616182</v>
      </c>
      <c r="N4" s="12">
        <f t="shared" si="0"/>
        <v>0.21821305841924399</v>
      </c>
      <c r="O4" s="12">
        <f t="shared" ref="O4:O67" si="9">B4-I4-P4*2-Q4*2</f>
        <v>170.17570134372602</v>
      </c>
      <c r="P4" s="12">
        <f t="shared" ref="P4:P67" si="10">CEILING(I4/2.4,1)</f>
        <v>53</v>
      </c>
      <c r="Q4" s="12">
        <f t="shared" ref="Q4:Q67" si="11">X4-P4</f>
        <v>89.412149328136991</v>
      </c>
      <c r="R4" s="12">
        <f t="shared" ref="R4:R67" si="12">SUM(AS3:AS3)</f>
        <v>6.329866666666665</v>
      </c>
      <c r="S4" s="12">
        <f t="shared" ref="S4:S35" si="13">SUM(AS4:AS4)/B4</f>
        <v>1.1543198168221237E-2</v>
      </c>
      <c r="T4" s="12">
        <f t="shared" si="1"/>
        <v>0.83281958671425138</v>
      </c>
      <c r="U4" s="12">
        <f>Population!$B$13*MIN(Z3:AA3)</f>
        <v>3.4369285714285667</v>
      </c>
      <c r="V4" s="12">
        <f>X3*Population!$B$14</f>
        <v>0.84751371428571454</v>
      </c>
      <c r="W4" s="12">
        <f>AO3*T3*Population!$B$12</f>
        <v>1.4295512432916397</v>
      </c>
      <c r="X4" s="12">
        <f t="shared" ref="X4:X12" si="14">X3+U4-W4-V4</f>
        <v>142.41214932813699</v>
      </c>
      <c r="Y4" s="12">
        <f>IF(B3&lt;Vehicle!$B$1*0.75,Vehicle!$B$1*0.01,0)</f>
        <v>20</v>
      </c>
      <c r="Z4" s="14">
        <f t="shared" ref="Z4:Z35" si="15">(AF4+AH4+AJ4+AL4+AN4)-X4</f>
        <v>105.04982346366842</v>
      </c>
      <c r="AA4" s="13">
        <f t="shared" ref="AA4:AA35" si="16">(AG4+AI4+AK4+AM4+AO4)-X4</f>
        <v>29.198500324159824</v>
      </c>
      <c r="AB4" s="18">
        <f>(G4+Population!$B$11*AB3)*Population!N$29</f>
        <v>64.298888009043509</v>
      </c>
      <c r="AC4" s="18">
        <f>AB3*Population!$B$12*Population!$N$29+AC3*Population!$B$11*Population!$N$30+Y4*Population!$L$30</f>
        <v>32.174946381975211</v>
      </c>
      <c r="AD4" s="14">
        <f>(AC3*Population!$B$12*0.5*Population!$N$30)+(AD3*Population!$B$11*Population!N$31)+Y4*Population!$L$31</f>
        <v>15.655575570125359</v>
      </c>
      <c r="AE4" s="13">
        <f>(AC3*Population!$B$12*0.5*Population!$N$30)+(AE3*Population!$B$11*Population!N$31)+Y4*Population!$L$32</f>
        <v>15.655575570125359</v>
      </c>
      <c r="AF4" s="14">
        <f>(AD3*Population!$B$12*Population!N$31)+(AF3*Population!$B$11*Population!N$33)+Y4*Population!$L$33</f>
        <v>95.491892770728768</v>
      </c>
      <c r="AG4" s="13">
        <f>(AE3*Population!$B$12*Population!N$31)+(AG3*Population!$B$11*Population!N$33)+Y4*Population!$L$34</f>
        <v>66.160124039688753</v>
      </c>
      <c r="AH4" s="14">
        <f>(AF3*Population!$B$12*Population!N$33)+(AH3*Population!$B$11*Population!N$35)+Y4*Population!$L$35</f>
        <v>84.851171270970497</v>
      </c>
      <c r="AI4" s="13">
        <f>(AG3*Population!$B$12*Population!N$33)+(AI3*Population!$B$11*Population!N$35)+Y4*Population!$L$36</f>
        <v>58.611451207775396</v>
      </c>
      <c r="AJ4" s="14">
        <f>(AH3*Population!$B$12*Population!N$35)+(AJ3*Population!$B$11*Population!N$37)+Y4*Population!$L$37</f>
        <v>32.170519922677556</v>
      </c>
      <c r="AK4" s="13">
        <f>(AI3*Population!$B$12*Population!N$35)+(AK3*Population!$B$11*Population!N$37)+Y4*Population!$L$38</f>
        <v>22.208095186546942</v>
      </c>
      <c r="AL4" s="14">
        <f>(AJ3*Population!$B$12*Population!N$37)+(AL3*Population!$B$11*Population!N$39)+Y4*Population!$L$39</f>
        <v>18.007853531428569</v>
      </c>
      <c r="AM4" s="13">
        <f>(AK3*Population!$B$12*Population!N$37)+(AM3*Population!$B$11*Population!N$39)+Y4*Population!$L$40</f>
        <v>12.671262354285714</v>
      </c>
      <c r="AN4" s="14">
        <f>(AL3*Population!$B$12*Population!N$39)+(AN3*Population!$B$11*Population!N$41)+Y4*Population!$L$41</f>
        <v>16.940535296</v>
      </c>
      <c r="AO4" s="13">
        <f>(AM3*Population!$B$12*Population!N$39)+(AO3*Population!$B$11*Population!N$41)+Y4*Population!$L$42</f>
        <v>11.959716864000001</v>
      </c>
      <c r="AP4" s="15">
        <f>(AN3+AO3)*Population!$B$12*Population!$N$41+AP3*Population!$B$11*Population!$N$43</f>
        <v>17.737280344285715</v>
      </c>
      <c r="AQ4" s="5">
        <f>AP3*Population!N$43*Population!$B$12+AQ3*Population!$B$11*Population!N$44</f>
        <v>6.5395278928571434</v>
      </c>
      <c r="AR4" s="5">
        <f>AQ3*Population!N$44*Population!$B$12+AR3*Population!$B$11*Population!N$45</f>
        <v>4.9523233034999992</v>
      </c>
      <c r="AS4" s="5">
        <f>(AR3*Population!$B$12+AS3)*Population!N$46</f>
        <v>6.71814133390476</v>
      </c>
    </row>
    <row r="5" spans="1:45">
      <c r="A5">
        <f>A4+Population!$B$2</f>
        <v>2</v>
      </c>
      <c r="B5" s="4">
        <f t="shared" si="4"/>
        <v>624</v>
      </c>
      <c r="C5" s="54">
        <f t="shared" si="2"/>
        <v>410</v>
      </c>
      <c r="D5" s="12">
        <f>AE4*Population!$Q$32*Population!$C$2+AG4*Population!$Q$34*Population!$C$2+AI4*Population!$Q$36*Population!$C$2+AK4*Population!$Q$38*Population!$C$2+AM4*Population!$Q$40*Population!$C$2+AO3*Population!$Q$42*Population!$C$2</f>
        <v>13.807987713308767</v>
      </c>
      <c r="E5" s="12">
        <f>IF(B4&gt;Population!$B$6*Population!$B$15,Population!$B$8,IF(Population!$J$6=1,D5,Population!$B$8*Population!$B$6*0.9/B4))</f>
        <v>23.761836638153017</v>
      </c>
      <c r="F5" s="12">
        <f>IF(B4&gt;Population!$B$6*0.75,Population!$B$8,E5)</f>
        <v>23.761836638153017</v>
      </c>
      <c r="G5" s="15">
        <f>IF(Population!$J$6=1,IF(E5&gt;H4,H4,E5),IF(E5&gt;X4,X4,E5))</f>
        <v>23.761836638153017</v>
      </c>
      <c r="H5" s="15">
        <f t="shared" si="5"/>
        <v>179</v>
      </c>
      <c r="I5" s="15">
        <f>FLOOR(SUM(AB5:AE5),1)</f>
        <v>150</v>
      </c>
      <c r="J5" s="12">
        <f t="shared" si="3"/>
        <v>0.83798882681564246</v>
      </c>
      <c r="K5" s="12">
        <f>AB5*Population!$P$29+AC5*Population!$P$30+AD5*Population!$P$31+AE5*Population!$P$32+AF5*Population!$P$33+AG5*Population!$P$34+AH5*Population!$P$35+AI5*Population!$P$36+AJ5*Population!$P$37+AK5*Population!$P$38+AL5*Population!$P$39+AM5*Population!$P$40+AN5*Population!$P$41+AO5*Population!$P$42+AP5*Population!$P$43+AQ5*Population!$P$44+AR5*Population!$P$45+AS5*Population!$P$46</f>
        <v>1.5695997318377</v>
      </c>
      <c r="L5" s="12">
        <f t="shared" si="7"/>
        <v>0.13274769071593864</v>
      </c>
      <c r="M5" s="12">
        <f t="shared" si="8"/>
        <v>8.7541582224367023</v>
      </c>
      <c r="N5" s="12">
        <f t="shared" si="0"/>
        <v>0.24038461538461539</v>
      </c>
      <c r="O5" s="12">
        <f t="shared" si="9"/>
        <v>179.13119310383973</v>
      </c>
      <c r="P5" s="12">
        <f t="shared" si="10"/>
        <v>63</v>
      </c>
      <c r="Q5" s="12">
        <f t="shared" si="11"/>
        <v>84.434403448080133</v>
      </c>
      <c r="R5" s="12">
        <f t="shared" si="12"/>
        <v>6.71814133390476</v>
      </c>
      <c r="S5" s="12">
        <f t="shared" si="13"/>
        <v>1.1298836484940115E-2</v>
      </c>
      <c r="T5" s="12">
        <f t="shared" si="1"/>
        <v>0.82365588518480526</v>
      </c>
      <c r="U5" s="12">
        <f>Population!$B$13*MIN(Z4:AA4)</f>
        <v>7.2996250810399559</v>
      </c>
      <c r="V5" s="12">
        <f>X4*Population!$B$14</f>
        <v>0.85447289596882192</v>
      </c>
      <c r="W5" s="12">
        <f>AO4*T4*Population!$B$12</f>
        <v>1.4228980651279919</v>
      </c>
      <c r="X5" s="12">
        <f t="shared" si="14"/>
        <v>147.43440344808013</v>
      </c>
      <c r="Y5" s="12">
        <f>IF(B4&lt;Vehicle!$B$1*0.75,Vehicle!$B$1*0.01,0)</f>
        <v>20</v>
      </c>
      <c r="Z5" s="14">
        <f t="shared" si="15"/>
        <v>107.46373249318506</v>
      </c>
      <c r="AA5" s="13">
        <f t="shared" si="16"/>
        <v>32.439859396685762</v>
      </c>
      <c r="AB5" s="18">
        <f>(G5+Population!$B$11*AB4)*Population!N$29</f>
        <v>78.843145898630922</v>
      </c>
      <c r="AC5" s="18">
        <f>AB4*Population!$B$12*Population!$N$29+AC4*Population!$B$11*Population!$N$30+Y5*Population!$L$30</f>
        <v>37.754146396392493</v>
      </c>
      <c r="AD5" s="14">
        <f>(AC4*Population!$B$12*0.5*Population!$N$30)+(AD4*Population!$B$11*Population!N$31)+Y5*Population!$L$31</f>
        <v>16.703969764165976</v>
      </c>
      <c r="AE5" s="13">
        <f>(AC4*Population!$B$12*0.5*Population!$N$30)+(AE4*Population!$B$11*Population!N$31)+Y5*Population!$L$32</f>
        <v>16.703969764165976</v>
      </c>
      <c r="AF5" s="14">
        <f>(AD4*Population!$B$12*Population!N$31)+(AF4*Population!$B$11*Population!N$33)+Y5*Population!$L$33</f>
        <v>86.006569969730947</v>
      </c>
      <c r="AG5" s="13">
        <f>(AE4*Population!$B$12*Population!N$31)+(AG4*Population!$B$11*Population!N$33)+Y5*Population!$L$34</f>
        <v>60.889013779354379</v>
      </c>
      <c r="AH5" s="14">
        <f>(AF4*Population!$B$12*Population!N$33)+(AH4*Population!$B$11*Population!N$35)+Y5*Population!$L$35</f>
        <v>89.218633018528521</v>
      </c>
      <c r="AI5" s="13">
        <f>(AG4*Population!$B$12*Population!N$33)+(AI4*Population!$B$11*Population!N$35)+Y5*Population!$L$36</f>
        <v>62.584368110031107</v>
      </c>
      <c r="AJ5" s="14">
        <f>(AH4*Population!$B$12*Population!N$35)+(AJ4*Population!$B$11*Population!N$37)+Y5*Population!$L$37</f>
        <v>40.620110309812333</v>
      </c>
      <c r="AK5" s="13">
        <f>(AI4*Population!$B$12*Population!N$35)+(AK4*Population!$B$11*Population!N$37)+Y5*Population!$L$38</f>
        <v>28.355950154884155</v>
      </c>
      <c r="AL5" s="14">
        <f>(AJ4*Population!$B$12*Population!N$37)+(AL4*Population!$B$11*Population!N$39)+Y5*Population!$L$39</f>
        <v>20.992631891473625</v>
      </c>
      <c r="AM5" s="13">
        <f>(AK4*Population!$B$12*Population!N$37)+(AM4*Population!$B$11*Population!N$39)+Y5*Population!$L$40</f>
        <v>15.006722403883098</v>
      </c>
      <c r="AN5" s="14">
        <f>(AL4*Population!$B$12*Population!N$39)+(AN4*Population!$B$11*Population!N$41)+Y5*Population!$L$41</f>
        <v>18.060190751719759</v>
      </c>
      <c r="AO5" s="13">
        <f>(AM4*Population!$B$12*Population!N$39)+(AO4*Population!$B$11*Population!N$41)+Y5*Population!$L$42</f>
        <v>13.038208396613172</v>
      </c>
      <c r="AP5" s="15">
        <f>(AN4+AO4)*Population!$B$12*Population!$N$41+AP4*Population!$B$11*Population!$N$43</f>
        <v>19.213839149512953</v>
      </c>
      <c r="AQ5" s="5">
        <f>AP4*Population!N$43*Population!$B$12+AQ4*Population!$B$11*Population!N$44</f>
        <v>8.0801975650847453</v>
      </c>
      <c r="AR5" s="5">
        <f>AQ4*Population!N$44*Population!$B$12+AR4*Population!$B$11*Population!N$45</f>
        <v>4.957843985268144</v>
      </c>
      <c r="AS5" s="5">
        <f>(AR4*Population!$B$12+AS4)*Population!N$46</f>
        <v>7.0504739666026319</v>
      </c>
    </row>
    <row r="6" spans="1:45">
      <c r="A6">
        <f>A5+Population!$B$2</f>
        <v>3</v>
      </c>
      <c r="B6" s="4">
        <f t="shared" si="4"/>
        <v>665</v>
      </c>
      <c r="C6" s="54">
        <f t="shared" si="2"/>
        <v>427</v>
      </c>
      <c r="D6" s="12">
        <f>AE5*Population!$Q$32*Population!$C$2+AG5*Population!$Q$34*Population!$C$2+AI5*Population!$Q$36*Population!$C$2+AK5*Population!$Q$38*Population!$C$2+AM5*Population!$Q$40*Population!$C$2+AO4*Population!$Q$42*Population!$C$2</f>
        <v>14.34345559583433</v>
      </c>
      <c r="E6" s="12">
        <f>IF(B5&gt;Population!$B$6*Population!$B$15,Population!$B$8,IF(Population!$J$6=1,D6,Population!$B$8*Population!$B$6*0.9/B5))</f>
        <v>23.761836638153017</v>
      </c>
      <c r="F6" s="12">
        <f>IF(B5&gt;Population!$B$6*0.75,Population!$B$8,E6)</f>
        <v>23.761836638153017</v>
      </c>
      <c r="G6" s="15">
        <f>IF(Population!$J$6=1,IF(E6&gt;H5,H5,E6),IF(E6&gt;X5,X5,E6))</f>
        <v>23.761836638153017</v>
      </c>
      <c r="H6" s="15">
        <f t="shared" si="5"/>
        <v>188</v>
      </c>
      <c r="I6" s="15">
        <f t="shared" si="6"/>
        <v>171</v>
      </c>
      <c r="J6" s="12">
        <f t="shared" si="3"/>
        <v>0.90957446808510634</v>
      </c>
      <c r="K6" s="12">
        <f>AB6*Population!$P$29+AC6*Population!$P$30+AD6*Population!$P$31+AE6*Population!$P$32+AF6*Population!$P$33+AG6*Population!$P$34+AH6*Population!$P$35+AI6*Population!$P$36+AJ6*Population!$P$37+AK6*Population!$P$38+AL6*Population!$P$39+AM6*Population!$P$40+AN6*Population!$P$41+AO6*Population!$P$42+AP6*Population!$P$43+AQ6*Population!$P$44+AR6*Population!$P$45+AS6*Population!$P$46</f>
        <v>1.670282860083129</v>
      </c>
      <c r="L6" s="12">
        <f t="shared" si="7"/>
        <v>0.126392748075282</v>
      </c>
      <c r="M6" s="12">
        <f t="shared" si="8"/>
        <v>8.9058087813018485</v>
      </c>
      <c r="N6" s="12">
        <f t="shared" si="0"/>
        <v>0.25714285714285712</v>
      </c>
      <c r="O6" s="12">
        <f t="shared" si="9"/>
        <v>187.74876112634132</v>
      </c>
      <c r="P6" s="12">
        <f t="shared" si="10"/>
        <v>72</v>
      </c>
      <c r="Q6" s="12">
        <f t="shared" si="11"/>
        <v>81.125619436829339</v>
      </c>
      <c r="R6" s="12">
        <f t="shared" si="12"/>
        <v>7.0504739666026319</v>
      </c>
      <c r="S6" s="12">
        <f t="shared" si="13"/>
        <v>1.107784357890472E-2</v>
      </c>
      <c r="T6" s="12">
        <f t="shared" si="1"/>
        <v>0.81449797572781568</v>
      </c>
      <c r="U6" s="12">
        <f>Population!$B$13*MIN(Z5:AA5)</f>
        <v>8.1099648491714404</v>
      </c>
      <c r="V6" s="12">
        <f>X5*Population!$B$14</f>
        <v>0.88460642068848083</v>
      </c>
      <c r="W6" s="12">
        <f>AO5*T5*Population!$B$12</f>
        <v>1.5341424397337688</v>
      </c>
      <c r="X6" s="12">
        <f t="shared" si="14"/>
        <v>153.12561943682934</v>
      </c>
      <c r="Y6" s="12">
        <f>IF(B5&lt;Vehicle!$B$1*0.75,Vehicle!$B$1*0.01,0)</f>
        <v>20</v>
      </c>
      <c r="Z6" s="14">
        <f t="shared" si="15"/>
        <v>109.17521410737569</v>
      </c>
      <c r="AA6" s="13">
        <f t="shared" si="16"/>
        <v>34.987146763097712</v>
      </c>
      <c r="AB6" s="18">
        <f>(G6+Population!$B$11*AB5)*Population!N$29</f>
        <v>91.304591259388857</v>
      </c>
      <c r="AC6" s="18">
        <f>AB5*Population!$B$12*Population!$N$29+AC5*Population!$B$11*Population!$N$30+Y6*Population!$L$30</f>
        <v>44.612149408873698</v>
      </c>
      <c r="AD6" s="14">
        <f>(AC5*Population!$B$12*0.5*Population!$N$30)+(AD5*Population!$B$11*Population!N$31)+Y6*Population!$L$31</f>
        <v>18.000161591801575</v>
      </c>
      <c r="AE6" s="13">
        <f>(AC5*Population!$B$12*0.5*Population!$N$30)+(AE5*Population!$B$11*Population!N$31)+Y6*Population!$L$32</f>
        <v>18.000161591801575</v>
      </c>
      <c r="AF6" s="14">
        <f>(AD5*Population!$B$12*Population!N$31)+(AF5*Population!$B$11*Population!N$33)+Y6*Population!$L$33</f>
        <v>78.033669304611351</v>
      </c>
      <c r="AG6" s="13">
        <f>(AE5*Population!$B$12*Population!N$31)+(AG5*Population!$B$11*Population!N$33)+Y6*Population!$L$34</f>
        <v>56.524852882330961</v>
      </c>
      <c r="AH6" s="14">
        <f>(AF5*Population!$B$12*Population!N$33)+(AH5*Population!$B$11*Population!N$35)+Y6*Population!$L$35</f>
        <v>91.601229309621061</v>
      </c>
      <c r="AI6" s="13">
        <f>(AG5*Population!$B$12*Population!N$33)+(AI5*Population!$B$11*Population!N$35)+Y6*Population!$L$36</f>
        <v>65.230889041254542</v>
      </c>
      <c r="AJ6" s="14">
        <f>(AH5*Population!$B$12*Population!N$35)+(AJ5*Population!$B$11*Population!N$37)+Y6*Population!$L$37</f>
        <v>48.471435918748277</v>
      </c>
      <c r="AK6" s="13">
        <f>(AI5*Population!$B$12*Population!N$35)+(AK5*Population!$B$11*Population!N$37)+Y6*Population!$L$38</f>
        <v>34.181892358111504</v>
      </c>
      <c r="AL6" s="14">
        <f>(AJ5*Population!$B$12*Population!N$37)+(AL5*Population!$B$11*Population!N$39)+Y6*Population!$L$39</f>
        <v>24.750867989638497</v>
      </c>
      <c r="AM6" s="13">
        <f>(AK5*Population!$B$12*Population!N$37)+(AM5*Population!$B$11*Population!N$39)+Y6*Population!$L$40</f>
        <v>17.881280530256092</v>
      </c>
      <c r="AN6" s="14">
        <f>(AL5*Population!$B$12*Population!N$39)+(AN5*Population!$B$11*Population!N$41)+Y6*Population!$L$41</f>
        <v>19.443631021585819</v>
      </c>
      <c r="AO6" s="13">
        <f>(AM5*Population!$B$12*Population!N$39)+(AO5*Population!$B$11*Population!N$41)+Y6*Population!$L$42</f>
        <v>14.293851387973955</v>
      </c>
      <c r="AP6" s="15">
        <f>(AN5+AO5)*Population!$B$12*Population!$N$41+AP5*Population!$B$11*Population!$N$43</f>
        <v>20.78370330229172</v>
      </c>
      <c r="AQ6" s="5">
        <f>AP5*Population!N$43*Population!$B$12+AQ5*Population!$B$11*Population!N$44</f>
        <v>9.6006050874437534</v>
      </c>
      <c r="AR6" s="5">
        <f>AQ5*Population!N$44*Population!$B$12+AR5*Population!$B$11*Population!N$45</f>
        <v>5.1808369107903243</v>
      </c>
      <c r="AS6" s="5">
        <f>(AR5*Population!$B$12+AS5)*Population!N$46</f>
        <v>7.3667659799716381</v>
      </c>
    </row>
    <row r="7" spans="1:45">
      <c r="A7">
        <f>A6+Population!$B$2</f>
        <v>4</v>
      </c>
      <c r="B7" s="4">
        <f t="shared" si="4"/>
        <v>706</v>
      </c>
      <c r="C7" s="54">
        <f t="shared" si="2"/>
        <v>442</v>
      </c>
      <c r="D7" s="12">
        <f>AE6*Population!$Q$32*Population!$C$2+AG6*Population!$Q$34*Population!$C$2+AI6*Population!$Q$36*Population!$C$2+AK6*Population!$Q$38*Population!$C$2+AM6*Population!$Q$40*Population!$C$2+AO5*Population!$Q$42*Population!$C$2</f>
        <v>14.835178934770164</v>
      </c>
      <c r="E7" s="12">
        <f>IF(B6&gt;Population!$B$6*Population!$B$15,Population!$B$8,IF(Population!$J$6=1,D7,Population!$B$8*Population!$B$6*0.9/B6))</f>
        <v>23.761836638153017</v>
      </c>
      <c r="F7" s="12">
        <f>IF(B6&gt;Population!$B$6*0.75,Population!$B$8,E7)</f>
        <v>23.761836638153017</v>
      </c>
      <c r="G7" s="15">
        <f>IF(Population!$J$6=1,IF(E7&gt;H6,H6,E7),IF(E7&gt;X6,X6,E7))</f>
        <v>23.761836638153017</v>
      </c>
      <c r="H7" s="15">
        <f t="shared" si="5"/>
        <v>196</v>
      </c>
      <c r="I7" s="15">
        <f t="shared" si="6"/>
        <v>193</v>
      </c>
      <c r="J7" s="12">
        <f t="shared" si="3"/>
        <v>0.98469387755102045</v>
      </c>
      <c r="K7" s="12">
        <f>AB7*Population!$P$29+AC7*Population!$P$30+AD7*Population!$P$31+AE7*Population!$P$32+AF7*Population!$P$33+AG7*Population!$P$34+AH7*Population!$P$35+AI7*Population!$P$36+AJ7*Population!$P$37+AK7*Population!$P$38+AL7*Population!$P$39+AM7*Population!$P$40+AN7*Population!$P$41+AO7*Population!$P$42+AP7*Population!$P$43+AQ7*Population!$P$44+AR7*Population!$P$45+AS7*Population!$P$46</f>
        <v>1.7793545654206659</v>
      </c>
      <c r="L7" s="12">
        <f t="shared" si="7"/>
        <v>0.12123386039873989</v>
      </c>
      <c r="M7" s="12">
        <f t="shared" si="8"/>
        <v>9.0192613550598608</v>
      </c>
      <c r="N7" s="12">
        <f t="shared" si="0"/>
        <v>0.27337110481586402</v>
      </c>
      <c r="O7" s="12">
        <f t="shared" si="9"/>
        <v>194.41907032685128</v>
      </c>
      <c r="P7" s="12">
        <f t="shared" si="10"/>
        <v>81</v>
      </c>
      <c r="Q7" s="12">
        <f t="shared" si="11"/>
        <v>78.290464836574358</v>
      </c>
      <c r="R7" s="12">
        <f t="shared" si="12"/>
        <v>7.3667659799716381</v>
      </c>
      <c r="S7" s="12">
        <f t="shared" si="13"/>
        <v>1.0902727593828711E-2</v>
      </c>
      <c r="T7" s="12">
        <f t="shared" si="1"/>
        <v>0.81270645324782831</v>
      </c>
      <c r="U7" s="12">
        <f>Population!$B$13*MIN(Z6:AA6)</f>
        <v>8.7467866907744281</v>
      </c>
      <c r="V7" s="12">
        <f>X6*Population!$B$14</f>
        <v>0.91875371662097605</v>
      </c>
      <c r="W7" s="12">
        <f>AO6*T6*Population!$B$12</f>
        <v>1.6631875744084308</v>
      </c>
      <c r="X7" s="12">
        <f t="shared" si="14"/>
        <v>159.29046483657436</v>
      </c>
      <c r="Y7" s="12">
        <f>IF(B6&lt;Vehicle!$B$1*0.75,Vehicle!$B$1*0.01,0)</f>
        <v>20</v>
      </c>
      <c r="Z7" s="14">
        <f t="shared" si="15"/>
        <v>110.37888226369762</v>
      </c>
      <c r="AA7" s="13">
        <f t="shared" si="16"/>
        <v>37.046727277056846</v>
      </c>
      <c r="AB7" s="18">
        <f>(G7+Population!$B$11*AB6)*Population!N$29</f>
        <v>101.98149355705297</v>
      </c>
      <c r="AC7" s="18">
        <f>AB6*Population!$B$12*Population!$N$29+AC6*Population!$B$11*Population!$N$30+Y7*Population!$L$30</f>
        <v>52.268598806696815</v>
      </c>
      <c r="AD7" s="14">
        <f>(AC6*Population!$B$12*0.5*Population!$N$30)+(AD6*Population!$B$11*Population!N$31)+Y7*Population!$L$31</f>
        <v>19.599871494922269</v>
      </c>
      <c r="AE7" s="13">
        <f>(AC6*Population!$B$12*0.5*Population!$N$30)+(AE6*Population!$B$11*Population!N$31)+Y7*Population!$L$32</f>
        <v>19.599871494922269</v>
      </c>
      <c r="AF7" s="14">
        <f>(AD6*Population!$B$12*Population!N$31)+(AF6*Population!$B$11*Population!N$33)+Y7*Population!$L$33</f>
        <v>71.391260963484129</v>
      </c>
      <c r="AG7" s="13">
        <f>(AE6*Population!$B$12*Population!N$31)+(AG6*Population!$B$11*Population!N$33)+Y7*Population!$L$34</f>
        <v>52.972702231858456</v>
      </c>
      <c r="AH7" s="14">
        <f>(AF6*Population!$B$12*Population!N$33)+(AH6*Population!$B$11*Population!N$35)+Y7*Population!$L$35</f>
        <v>92.501633273406227</v>
      </c>
      <c r="AI7" s="13">
        <f>(AG6*Population!$B$12*Population!N$33)+(AI6*Population!$B$11*Population!N$35)+Y7*Population!$L$36</f>
        <v>66.872122729043724</v>
      </c>
      <c r="AJ7" s="14">
        <f>(AH6*Population!$B$12*Population!N$35)+(AJ6*Population!$B$11*Population!N$37)+Y7*Population!$L$37</f>
        <v>55.527939931436038</v>
      </c>
      <c r="AK7" s="13">
        <f>(AI6*Population!$B$12*Population!N$35)+(AK6*Population!$B$11*Population!N$37)+Y7*Population!$L$38</f>
        <v>39.543317783285559</v>
      </c>
      <c r="AL7" s="14">
        <f>(AJ6*Population!$B$12*Population!N$37)+(AL6*Population!$B$11*Population!N$39)+Y7*Population!$L$39</f>
        <v>29.085492671482086</v>
      </c>
      <c r="AM7" s="13">
        <f>(AK6*Population!$B$12*Population!N$37)+(AM6*Population!$B$11*Population!N$39)+Y7*Population!$L$40</f>
        <v>21.171136279230275</v>
      </c>
      <c r="AN7" s="14">
        <f>(AL6*Population!$B$12*Population!N$39)+(AN6*Population!$B$11*Population!N$41)+Y7*Population!$L$41</f>
        <v>21.163020260463522</v>
      </c>
      <c r="AO7" s="13">
        <f>(AM6*Population!$B$12*Population!N$39)+(AO6*Population!$B$11*Population!N$41)+Y7*Population!$L$42</f>
        <v>15.777913090213183</v>
      </c>
      <c r="AP7" s="15">
        <f>(AN6+AO6)*Population!$B$12*Population!$N$41+AP6*Population!$B$11*Population!$N$43</f>
        <v>22.495833594776293</v>
      </c>
      <c r="AQ7" s="5">
        <f>AP6*Population!N$43*Population!$B$12+AQ6*Population!$B$11*Population!N$44</f>
        <v>11.117003665244118</v>
      </c>
      <c r="AR7" s="5">
        <f>AQ6*Population!N$44*Population!$B$12+AR6*Population!$B$11*Population!N$45</f>
        <v>5.577943840128996</v>
      </c>
      <c r="AS7" s="5">
        <f>(AR6*Population!$B$12+AS6)*Population!N$46</f>
        <v>7.6973256812430702</v>
      </c>
    </row>
    <row r="8" spans="1:45">
      <c r="A8">
        <f>A7+Population!$B$2</f>
        <v>5</v>
      </c>
      <c r="B8" s="4">
        <f t="shared" si="4"/>
        <v>747</v>
      </c>
      <c r="C8" s="54">
        <f t="shared" si="2"/>
        <v>457</v>
      </c>
      <c r="D8" s="12">
        <f>AE7*Population!$Q$32*Population!$C$2+AG7*Population!$Q$34*Population!$C$2+AI7*Population!$Q$36*Population!$C$2+AK7*Population!$Q$38*Population!$C$2+AM7*Population!$Q$40*Population!$C$2+AO6*Population!$Q$42*Population!$C$2</f>
        <v>15.289839661776513</v>
      </c>
      <c r="E8" s="12">
        <f>IF(B7&gt;Population!$B$6*Population!$B$15,Population!$B$8,IF(Population!$J$6=1,D8,Population!$B$8*Population!$B$6*0.9/B7))</f>
        <v>23.761836638153017</v>
      </c>
      <c r="F8" s="12">
        <f>IF(B7&gt;Population!$B$6*0.75,Population!$B$8,E8)</f>
        <v>23.761836638153017</v>
      </c>
      <c r="G8" s="15">
        <f>IF(Population!$J$6=1,IF(E8&gt;H7,H7,E8),IF(E8&gt;X7,X7,E8))</f>
        <v>23.761836638153017</v>
      </c>
      <c r="H8" s="15">
        <f t="shared" si="5"/>
        <v>204</v>
      </c>
      <c r="I8" s="15">
        <f t="shared" si="6"/>
        <v>214</v>
      </c>
      <c r="J8" s="12">
        <f t="shared" si="3"/>
        <v>1.0490196078431373</v>
      </c>
      <c r="K8" s="12">
        <f>AB8*Population!$P$29+AC8*Population!$P$30+AD8*Population!$P$31+AE8*Population!$P$32+AF8*Population!$P$33+AG8*Population!$P$34+AH8*Population!$P$35+AI8*Population!$P$36+AJ8*Population!$P$37+AK8*Population!$P$38+AL8*Population!$P$39+AM8*Population!$P$40+AN8*Population!$P$41+AO8*Population!$P$42+AP8*Population!$P$43+AQ8*Population!$P$44+AR8*Population!$P$45+AS8*Population!$P$46</f>
        <v>1.8971617451210032</v>
      </c>
      <c r="L8" s="12">
        <f t="shared" si="7"/>
        <v>0.11647959136349519</v>
      </c>
      <c r="M8" s="12">
        <f t="shared" si="8"/>
        <v>9.100976633127992</v>
      </c>
      <c r="N8" s="12">
        <f t="shared" si="0"/>
        <v>0.28647925033467203</v>
      </c>
      <c r="O8" s="12">
        <f t="shared" si="9"/>
        <v>201.47085277699023</v>
      </c>
      <c r="P8" s="12">
        <f t="shared" si="10"/>
        <v>90</v>
      </c>
      <c r="Q8" s="12">
        <f t="shared" si="11"/>
        <v>75.764573611504886</v>
      </c>
      <c r="R8" s="12">
        <f t="shared" si="12"/>
        <v>7.6973256812430702</v>
      </c>
      <c r="S8" s="12">
        <f t="shared" si="13"/>
        <v>1.0796585127579339E-2</v>
      </c>
      <c r="T8" s="12">
        <f t="shared" si="1"/>
        <v>0.81257143927208275</v>
      </c>
      <c r="U8" s="12">
        <f>Population!$B$13*MIN(Z7:AA7)</f>
        <v>9.2616818192642114</v>
      </c>
      <c r="V8" s="12">
        <f>X7*Population!$B$14</f>
        <v>0.9557427890194462</v>
      </c>
      <c r="W8" s="12">
        <f>AO7*T7*Population!$B$12</f>
        <v>1.831830255314234</v>
      </c>
      <c r="X8" s="12">
        <f t="shared" si="14"/>
        <v>165.76457361150489</v>
      </c>
      <c r="Y8" s="12">
        <f>IF(B7&lt;Vehicle!$B$1*0.75,Vehicle!$B$1*0.01,0)</f>
        <v>20</v>
      </c>
      <c r="Z8" s="14">
        <f t="shared" si="15"/>
        <v>111.235873056804</v>
      </c>
      <c r="AA8" s="13">
        <f t="shared" si="16"/>
        <v>38.794529027798859</v>
      </c>
      <c r="AB8" s="18">
        <f>(G8+Population!$B$11*AB7)*Population!N$29</f>
        <v>111.12940853590833</v>
      </c>
      <c r="AC8" s="18">
        <f>AB7*Population!$B$12*Population!$N$29+AC7*Population!$B$11*Population!$N$30+Y8*Population!$L$30</f>
        <v>60.354445614637243</v>
      </c>
      <c r="AD8" s="14">
        <f>(AC7*Population!$B$12*0.5*Population!$N$30)+(AD7*Population!$B$11*Population!N$31)+Y8*Population!$L$31</f>
        <v>21.516510870044044</v>
      </c>
      <c r="AE8" s="13">
        <f>(AC7*Population!$B$12*0.5*Population!$N$30)+(AE7*Population!$B$11*Population!N$31)+Y8*Population!$L$32</f>
        <v>21.516510870044044</v>
      </c>
      <c r="AF8" s="14">
        <f>(AD7*Population!$B$12*Population!N$31)+(AF7*Population!$B$11*Population!N$33)+Y8*Population!$L$33</f>
        <v>65.931506195443319</v>
      </c>
      <c r="AG8" s="13">
        <f>(AE7*Population!$B$12*Population!N$31)+(AG7*Population!$B$11*Population!N$33)+Y8*Population!$L$34</f>
        <v>50.15921547102522</v>
      </c>
      <c r="AH8" s="14">
        <f>(AF7*Population!$B$12*Population!N$33)+(AH7*Population!$B$11*Population!N$35)+Y8*Population!$L$35</f>
        <v>92.323915130987658</v>
      </c>
      <c r="AI8" s="13">
        <f>(AG7*Population!$B$12*Population!N$33)+(AI7*Population!$B$11*Population!N$35)+Y8*Population!$L$36</f>
        <v>67.769226966722186</v>
      </c>
      <c r="AJ8" s="14">
        <f>(AH7*Population!$B$12*Population!N$35)+(AJ7*Population!$B$11*Population!N$37)+Y8*Population!$L$37</f>
        <v>61.693141122589623</v>
      </c>
      <c r="AK8" s="13">
        <f>(AI7*Population!$B$12*Population!N$35)+(AK7*Population!$B$11*Population!N$37)+Y8*Population!$L$38</f>
        <v>44.364013704607693</v>
      </c>
      <c r="AL8" s="14">
        <f>(AJ7*Population!$B$12*Population!N$37)+(AL7*Population!$B$11*Population!N$39)+Y8*Population!$L$39</f>
        <v>33.79988820572639</v>
      </c>
      <c r="AM8" s="13">
        <f>(AK7*Population!$B$12*Population!N$37)+(AM7*Population!$B$11*Population!N$39)+Y8*Population!$L$40</f>
        <v>24.750045828369508</v>
      </c>
      <c r="AN8" s="14">
        <f>(AL7*Population!$B$12*Population!N$39)+(AN7*Population!$B$11*Population!N$41)+Y8*Population!$L$41</f>
        <v>23.251996013561918</v>
      </c>
      <c r="AO8" s="13">
        <f>(AM7*Population!$B$12*Population!N$39)+(AO7*Population!$B$11*Population!N$41)+Y8*Population!$L$42</f>
        <v>17.516600668579144</v>
      </c>
      <c r="AP8" s="15">
        <f>(AN7+AO7)*Population!$B$12*Population!$N$41+AP7*Population!$B$11*Population!$N$43</f>
        <v>24.409491366561202</v>
      </c>
      <c r="AQ8" s="5">
        <f>AP7*Population!N$43*Population!$B$12+AQ7*Population!$B$11*Population!N$44</f>
        <v>12.650167304748679</v>
      </c>
      <c r="AR8" s="5">
        <f>AQ7*Population!N$44*Population!$B$12+AR7*Population!$B$11*Population!N$45</f>
        <v>6.1161831560893107</v>
      </c>
      <c r="AS8" s="5">
        <f>(AR7*Population!$B$12+AS7)*Population!N$46</f>
        <v>8.0650490903017662</v>
      </c>
    </row>
    <row r="9" spans="1:45">
      <c r="A9">
        <f>A8+Population!$B$2</f>
        <v>6</v>
      </c>
      <c r="B9" s="4">
        <f t="shared" si="4"/>
        <v>788</v>
      </c>
      <c r="C9" s="54">
        <f t="shared" si="2"/>
        <v>473</v>
      </c>
      <c r="D9" s="12">
        <f>AE8*Population!$Q$32*Population!$C$2+AG8*Population!$Q$34*Population!$C$2+AI8*Population!$Q$36*Population!$C$2+AK8*Population!$Q$38*Population!$C$2+AM8*Population!$Q$40*Population!$C$2+AO7*Population!$Q$42*Population!$C$2</f>
        <v>15.715245079606678</v>
      </c>
      <c r="E9" s="12">
        <f>IF(B8&gt;Population!$B$6*Population!$B$15,Population!$B$8,IF(Population!$J$6=1,D9,Population!$B$8*Population!$B$6*0.9/B8))</f>
        <v>23.761836638153017</v>
      </c>
      <c r="F9" s="12">
        <f>IF(B8&gt;Population!$B$6*0.75,Population!$B$8,E9)</f>
        <v>23.761836638153017</v>
      </c>
      <c r="G9" s="15">
        <f>IF(Population!$J$6=1,IF(E9&gt;H8,H8,E9),IF(E9&gt;X8,X8,E9))</f>
        <v>23.761836638153017</v>
      </c>
      <c r="H9" s="15">
        <f t="shared" si="5"/>
        <v>212</v>
      </c>
      <c r="I9" s="15">
        <f t="shared" si="6"/>
        <v>235</v>
      </c>
      <c r="J9" s="12">
        <f t="shared" si="3"/>
        <v>1.1084905660377358</v>
      </c>
      <c r="K9" s="12">
        <f>AB9*Population!$P$29+AC9*Population!$P$30+AD9*Population!$P$31+AE9*Population!$P$32+AF9*Population!$P$33+AG9*Population!$P$34+AH9*Population!$P$35+AI9*Population!$P$36+AJ9*Population!$P$37+AK9*Population!$P$38+AL9*Population!$P$39+AM9*Population!$P$40+AN9*Population!$P$41+AO9*Population!$P$42+AP9*Population!$P$43+AQ9*Population!$P$44+AR9*Population!$P$45+AS9*Population!$P$46</f>
        <v>2.0241695960403381</v>
      </c>
      <c r="L9" s="12">
        <f t="shared" si="7"/>
        <v>0.11208413508562744</v>
      </c>
      <c r="M9" s="12">
        <f t="shared" si="8"/>
        <v>9.1580752215141583</v>
      </c>
      <c r="N9" s="12">
        <f t="shared" si="0"/>
        <v>0.29822335025380708</v>
      </c>
      <c r="O9" s="12">
        <f t="shared" si="9"/>
        <v>208.12947440826366</v>
      </c>
      <c r="P9" s="12">
        <f t="shared" si="10"/>
        <v>98</v>
      </c>
      <c r="Q9" s="12">
        <f t="shared" si="11"/>
        <v>74.435262795868169</v>
      </c>
      <c r="R9" s="12">
        <f t="shared" si="12"/>
        <v>8.0650490903017662</v>
      </c>
      <c r="S9" s="12">
        <f t="shared" si="13"/>
        <v>1.0770560778618876E-2</v>
      </c>
      <c r="T9" s="12">
        <f t="shared" si="1"/>
        <v>0.81337388111258568</v>
      </c>
      <c r="U9" s="12">
        <f>Population!$B$13*MIN(Z8:AA8)</f>
        <v>9.6986322569497148</v>
      </c>
      <c r="V9" s="12">
        <f>X8*Population!$B$14</f>
        <v>0.99458744166902935</v>
      </c>
      <c r="W9" s="12">
        <f>AO8*T8*Population!$B$12</f>
        <v>2.033355630917383</v>
      </c>
      <c r="X9" s="12">
        <f t="shared" si="14"/>
        <v>172.43526279586817</v>
      </c>
      <c r="Y9" s="12">
        <f>IF(B8&lt;Vehicle!$B$1*0.75,Vehicle!$B$1*0.01,0)</f>
        <v>20</v>
      </c>
      <c r="Z9" s="14">
        <f t="shared" si="15"/>
        <v>111.85262070332416</v>
      </c>
      <c r="AA9" s="13">
        <f t="shared" si="16"/>
        <v>40.352881304855657</v>
      </c>
      <c r="AB9" s="18">
        <f>(G9+Population!$B$11*AB8)*Population!N$29</f>
        <v>118.96729504337171</v>
      </c>
      <c r="AC9" s="18">
        <f>AB8*Population!$B$12*Population!$N$29+AC8*Population!$B$11*Population!$N$30+Y9*Population!$L$30</f>
        <v>68.589926454612353</v>
      </c>
      <c r="AD9" s="14">
        <f>(AC8*Population!$B$12*0.5*Population!$N$30)+(AD8*Population!$B$11*Population!N$31)+Y9*Population!$L$31</f>
        <v>23.735209534756621</v>
      </c>
      <c r="AE9" s="13">
        <f>(AC8*Population!$B$12*0.5*Population!$N$30)+(AE8*Population!$B$11*Population!N$31)+Y9*Population!$L$32</f>
        <v>23.735209534756621</v>
      </c>
      <c r="AF9" s="14">
        <f>(AD8*Population!$B$12*Population!N$31)+(AF8*Population!$B$11*Population!N$33)+Y9*Population!$L$33</f>
        <v>61.529720922202756</v>
      </c>
      <c r="AG9" s="13">
        <f>(AE8*Population!$B$12*Population!N$31)+(AG8*Population!$B$11*Population!N$33)+Y9*Population!$L$34</f>
        <v>48.0234982953247</v>
      </c>
      <c r="AH9" s="14">
        <f>(AF8*Population!$B$12*Population!N$33)+(AH8*Population!$B$11*Population!N$35)+Y9*Population!$L$35</f>
        <v>91.392656107665147</v>
      </c>
      <c r="AI9" s="13">
        <f>(AG8*Population!$B$12*Population!N$33)+(AI8*Population!$B$11*Population!N$35)+Y9*Population!$L$36</f>
        <v>68.135153434908261</v>
      </c>
      <c r="AJ9" s="14">
        <f>(AH8*Population!$B$12*Population!N$35)+(AJ8*Population!$B$11*Population!N$37)+Y9*Population!$L$37</f>
        <v>66.942113566248807</v>
      </c>
      <c r="AK9" s="13">
        <f>(AI8*Population!$B$12*Population!N$35)+(AK8*Population!$B$11*Population!N$37)+Y9*Population!$L$38</f>
        <v>48.616016977245025</v>
      </c>
      <c r="AL9" s="14">
        <f>(AJ8*Population!$B$12*Population!N$37)+(AL8*Population!$B$11*Population!N$39)+Y9*Population!$L$39</f>
        <v>38.712092116266092</v>
      </c>
      <c r="AM9" s="13">
        <f>(AK8*Population!$B$12*Population!N$37)+(AM8*Population!$B$11*Population!N$39)+Y9*Population!$L$40</f>
        <v>28.499141320081296</v>
      </c>
      <c r="AN9" s="14">
        <f>(AL8*Population!$B$12*Population!N$39)+(AN8*Population!$B$11*Population!N$41)+Y9*Population!$L$41</f>
        <v>25.711300786809524</v>
      </c>
      <c r="AO9" s="13">
        <f>(AM8*Population!$B$12*Population!N$39)+(AO8*Population!$B$11*Population!N$41)+Y9*Population!$L$42</f>
        <v>19.514334073164552</v>
      </c>
      <c r="AP9" s="15">
        <f>(AN8+AO8)*Population!$B$12*Population!$N$41+AP8*Population!$B$11*Population!$N$43</f>
        <v>26.583636614490452</v>
      </c>
      <c r="AQ9" s="5">
        <f>AP8*Population!N$43*Population!$B$12+AQ8*Population!$B$11*Population!N$44</f>
        <v>14.226177729269878</v>
      </c>
      <c r="AR9" s="5">
        <f>AQ8*Population!N$44*Population!$B$12+AR8*Population!$B$11*Population!N$45</f>
        <v>6.7716592985787614</v>
      </c>
      <c r="AS9" s="5">
        <f>(AR8*Population!$B$12+AS8)*Population!N$46</f>
        <v>8.4872018935516742</v>
      </c>
    </row>
    <row r="10" spans="1:45">
      <c r="A10">
        <f>A9+Population!$B$2</f>
        <v>7</v>
      </c>
      <c r="B10" s="4">
        <f t="shared" si="4"/>
        <v>828</v>
      </c>
      <c r="C10" s="54">
        <f t="shared" si="2"/>
        <v>488</v>
      </c>
      <c r="D10" s="12">
        <f>AE9*Population!$Q$32*Population!$C$2+AG9*Population!$Q$34*Population!$C$2+AI9*Population!$Q$36*Population!$C$2+AK9*Population!$Q$38*Population!$C$2+AM9*Population!$Q$40*Population!$C$2+AO8*Population!$Q$42*Population!$C$2</f>
        <v>16.119449878346295</v>
      </c>
      <c r="E10" s="12">
        <f>IF(B9&gt;Population!$B$6*Population!$B$15,Population!$B$8,IF(Population!$J$6=1,D10,Population!$B$8*Population!$B$6*0.9/B9))</f>
        <v>23.761836638153017</v>
      </c>
      <c r="F10" s="12">
        <f>IF(B9&gt;Population!$B$6*0.75,Population!$B$8,E10)</f>
        <v>23.761836638153017</v>
      </c>
      <c r="G10" s="15">
        <f>IF(Population!$J$6=1,IF(E10&gt;H9,H9,E10),IF(E10&gt;X9,X9,E10))</f>
        <v>23.761836638153017</v>
      </c>
      <c r="H10" s="15">
        <f t="shared" si="5"/>
        <v>221</v>
      </c>
      <c r="I10" s="15">
        <f t="shared" si="6"/>
        <v>254</v>
      </c>
      <c r="J10" s="12">
        <f t="shared" si="3"/>
        <v>1.1493212669683257</v>
      </c>
      <c r="K10" s="12">
        <f>AB10*Population!$P$29+AC10*Population!$P$30+AD10*Population!$P$31+AE10*Population!$P$32+AF10*Population!$P$33+AG10*Population!$P$34+AH10*Population!$P$35+AI10*Population!$P$36+AJ10*Population!$P$37+AK10*Population!$P$38+AL10*Population!$P$39+AM10*Population!$P$40+AN10*Population!$P$41+AO10*Population!$P$42+AP10*Population!$P$43+AQ10*Population!$P$44+AR10*Population!$P$45+AS10*Population!$P$46</f>
        <v>2.1609588598931975</v>
      </c>
      <c r="L10" s="12">
        <f t="shared" si="7"/>
        <v>0.10751962279707247</v>
      </c>
      <c r="M10" s="12">
        <f t="shared" si="8"/>
        <v>9.1977382700418246</v>
      </c>
      <c r="N10" s="12">
        <f t="shared" si="0"/>
        <v>0.30676328502415456</v>
      </c>
      <c r="O10" s="12">
        <f t="shared" si="9"/>
        <v>215.55724252150549</v>
      </c>
      <c r="P10" s="12">
        <f t="shared" si="10"/>
        <v>106</v>
      </c>
      <c r="Q10" s="12">
        <f t="shared" si="11"/>
        <v>73.221378739247257</v>
      </c>
      <c r="R10" s="12">
        <f t="shared" si="12"/>
        <v>8.4872018935516742</v>
      </c>
      <c r="S10" s="12">
        <f t="shared" si="13"/>
        <v>1.0841710532788243E-2</v>
      </c>
      <c r="T10" s="12">
        <f t="shared" si="1"/>
        <v>0.81095646488347173</v>
      </c>
      <c r="U10" s="12">
        <f>Population!$B$13*MIN(Z9:AA9)</f>
        <v>10.088220326213914</v>
      </c>
      <c r="V10" s="12">
        <f>X9*Population!$B$14</f>
        <v>1.0346115767752091</v>
      </c>
      <c r="W10" s="12">
        <f>AO9*T9*Population!$B$12</f>
        <v>2.2674928060596318</v>
      </c>
      <c r="X10" s="12">
        <f t="shared" si="14"/>
        <v>179.22137873924726</v>
      </c>
      <c r="Y10" s="12">
        <f>IF(B9&lt;Vehicle!$B$1*0.75,Vehicle!$B$1*0.01,0)</f>
        <v>20</v>
      </c>
      <c r="Z10" s="14">
        <f t="shared" si="15"/>
        <v>112.30169337672567</v>
      </c>
      <c r="AA10" s="13">
        <f t="shared" si="16"/>
        <v>41.80975418027279</v>
      </c>
      <c r="AB10" s="18">
        <f>(G10+Population!$B$11*AB9)*Population!N$29</f>
        <v>125.68275589383573</v>
      </c>
      <c r="AC10" s="18">
        <f>AB9*Population!$B$12*Population!$N$29+AC9*Population!$B$11*Population!$N$30+Y10*Population!$L$30</f>
        <v>76.766565235506363</v>
      </c>
      <c r="AD10" s="14">
        <f>(AC9*Population!$B$12*0.5*Population!$N$30)+(AD9*Population!$B$11*Population!N$31)+Y10*Population!$L$31</f>
        <v>26.223255163000005</v>
      </c>
      <c r="AE10" s="13">
        <f>(AC9*Population!$B$12*0.5*Population!$N$30)+(AE9*Population!$B$11*Population!N$31)+Y10*Population!$L$32</f>
        <v>26.223255163000005</v>
      </c>
      <c r="AF10" s="14">
        <f>(AD9*Population!$B$12*Population!N$31)+(AF9*Population!$B$11*Population!N$33)+Y10*Population!$L$33</f>
        <v>58.077012638436194</v>
      </c>
      <c r="AG10" s="13">
        <f>(AE9*Population!$B$12*Population!N$31)+(AG9*Population!$B$11*Population!N$33)+Y10*Population!$L$34</f>
        <v>46.51128304125222</v>
      </c>
      <c r="AH10" s="14">
        <f>(AF9*Population!$B$12*Population!N$33)+(AH9*Population!$B$11*Population!N$35)+Y10*Population!$L$35</f>
        <v>89.967739477970653</v>
      </c>
      <c r="AI10" s="13">
        <f>(AG9*Population!$B$12*Population!N$33)+(AI9*Population!$B$11*Population!N$35)+Y10*Population!$L$36</f>
        <v>68.143390791904096</v>
      </c>
      <c r="AJ10" s="14">
        <f>(AH9*Population!$B$12*Population!N$35)+(AJ9*Population!$B$11*Population!N$37)+Y10*Population!$L$37</f>
        <v>71.299812922449732</v>
      </c>
      <c r="AK10" s="13">
        <f>(AI9*Population!$B$12*Population!N$35)+(AK9*Population!$B$11*Population!N$37)+Y10*Population!$L$38</f>
        <v>52.305768469743654</v>
      </c>
      <c r="AL10" s="14">
        <f>(AJ9*Population!$B$12*Population!N$37)+(AL9*Population!$B$11*Population!N$39)+Y10*Population!$L$39</f>
        <v>43.662882014945545</v>
      </c>
      <c r="AM10" s="13">
        <f>(AK9*Population!$B$12*Population!N$37)+(AM9*Population!$B$11*Population!N$39)+Y10*Population!$L$40</f>
        <v>32.31274457673274</v>
      </c>
      <c r="AN10" s="14">
        <f>(AL9*Population!$B$12*Population!N$39)+(AN9*Population!$B$11*Population!N$41)+Y10*Population!$L$41</f>
        <v>28.515625062170852</v>
      </c>
      <c r="AO10" s="13">
        <f>(AM9*Population!$B$12*Population!N$39)+(AO9*Population!$B$11*Population!N$41)+Y10*Population!$L$42</f>
        <v>21.757946039887315</v>
      </c>
      <c r="AP10" s="15">
        <f>(AN9+AO9)*Population!$B$12*Population!$N$41+AP9*Population!$B$11*Population!$N$43</f>
        <v>29.069176162179328</v>
      </c>
      <c r="AQ10" s="5">
        <f>AP9*Population!N$43*Population!$B$12+AQ9*Population!$B$11*Population!N$44</f>
        <v>15.875590413347348</v>
      </c>
      <c r="AR10" s="5">
        <f>AQ9*Population!N$44*Population!$B$12+AR9*Population!$B$11*Population!N$45</f>
        <v>7.5286240522314358</v>
      </c>
      <c r="AS10" s="5">
        <f>(AR9*Population!$B$12+AS9)*Population!N$46</f>
        <v>8.9769363211486652</v>
      </c>
    </row>
    <row r="11" spans="1:45">
      <c r="A11">
        <f>A10+Population!$B$2</f>
        <v>8</v>
      </c>
      <c r="B11" s="4">
        <f t="shared" si="4"/>
        <v>869</v>
      </c>
      <c r="C11" s="54">
        <f t="shared" si="2"/>
        <v>503</v>
      </c>
      <c r="D11" s="12">
        <f>AE10*Population!$Q$32*Population!$C$2+AG10*Population!$Q$34*Population!$C$2+AI10*Population!$Q$36*Population!$C$2+AK10*Population!$Q$38*Population!$C$2+AM10*Population!$Q$40*Population!$C$2+AO9*Population!$Q$42*Population!$C$2</f>
        <v>16.51018326545822</v>
      </c>
      <c r="E11" s="12">
        <f>IF(B10&gt;Population!$B$6*Population!$B$15,Population!$B$8,IF(Population!$J$6=1,D11,Population!$B$8*Population!$B$6*0.9/B10))</f>
        <v>23.761836638153017</v>
      </c>
      <c r="F11" s="12">
        <f>IF(B10&gt;Population!$B$6*0.75,Population!$B$8,E11)</f>
        <v>23.761836638153017</v>
      </c>
      <c r="G11" s="15">
        <f>IF(Population!$J$6=1,IF(E11&gt;H10,H10,E11),IF(E11&gt;X10,X10,E11))</f>
        <v>23.761836638153017</v>
      </c>
      <c r="H11" s="15">
        <f t="shared" si="5"/>
        <v>229</v>
      </c>
      <c r="I11" s="15">
        <f t="shared" si="6"/>
        <v>274</v>
      </c>
      <c r="J11" s="12">
        <f t="shared" si="3"/>
        <v>1.1965065502183405</v>
      </c>
      <c r="K11" s="12">
        <f>AB11*Population!$P$29+AC11*Population!$P$30+AD11*Population!$P$31+AE11*Population!$P$32+AF11*Population!$P$33+AG11*Population!$P$34+AH11*Population!$P$35+AI11*Population!$P$36+AJ11*Population!$P$37+AK11*Population!$P$38+AL11*Population!$P$39+AM11*Population!$P$40+AN11*Population!$P$41+AO11*Population!$P$42+AP11*Population!$P$43+AQ11*Population!$P$44+AR11*Population!$P$45+AS11*Population!$P$46</f>
        <v>2.308221437057425</v>
      </c>
      <c r="L11" s="12">
        <f t="shared" si="7"/>
        <v>0.10376347876922715</v>
      </c>
      <c r="M11" s="12">
        <f t="shared" si="8"/>
        <v>9.2268004775265897</v>
      </c>
      <c r="N11" s="12">
        <f t="shared" si="0"/>
        <v>0.31530494821634064</v>
      </c>
      <c r="O11" s="12">
        <f t="shared" si="9"/>
        <v>222.84437826299217</v>
      </c>
      <c r="P11" s="12">
        <f t="shared" si="10"/>
        <v>115</v>
      </c>
      <c r="Q11" s="12">
        <f t="shared" si="11"/>
        <v>71.077810868503917</v>
      </c>
      <c r="R11" s="12">
        <f t="shared" si="12"/>
        <v>8.9769363211486652</v>
      </c>
      <c r="S11" s="12">
        <f t="shared" si="13"/>
        <v>1.0983433906385393E-2</v>
      </c>
      <c r="T11" s="12">
        <f t="shared" si="1"/>
        <v>0.81256685968779008</v>
      </c>
      <c r="U11" s="12">
        <f>Population!$B$13*MIN(Z10:AA10)</f>
        <v>10.452438545068198</v>
      </c>
      <c r="V11" s="12">
        <f>X10*Population!$B$14</f>
        <v>1.0753282724354836</v>
      </c>
      <c r="W11" s="12">
        <f>AO10*T10*Population!$B$12</f>
        <v>2.5206781433760499</v>
      </c>
      <c r="X11" s="12">
        <f t="shared" si="14"/>
        <v>186.07781086850392</v>
      </c>
      <c r="Y11" s="12">
        <f>IF(B10&lt;Vehicle!$B$1*0.75,Vehicle!$B$1*0.01,0)</f>
        <v>20</v>
      </c>
      <c r="Z11" s="14">
        <f t="shared" si="15"/>
        <v>112.61846732576751</v>
      </c>
      <c r="AA11" s="13">
        <f t="shared" si="16"/>
        <v>43.214217774702803</v>
      </c>
      <c r="AB11" s="18">
        <f>(G11+Population!$B$11*AB10)*Population!N$29</f>
        <v>131.43652821385749</v>
      </c>
      <c r="AC11" s="18">
        <f>AB10*Population!$B$12*Population!$N$29+AC10*Population!$B$11*Population!$N$30+Y11*Population!$L$30</f>
        <v>84.732497892130439</v>
      </c>
      <c r="AD11" s="14">
        <f>(AC10*Population!$B$12*0.5*Population!$N$30)+(AD10*Population!$B$11*Population!N$31)+Y11*Population!$L$31</f>
        <v>28.937747540591744</v>
      </c>
      <c r="AE11" s="13">
        <f>(AC10*Population!$B$12*0.5*Population!$N$30)+(AE10*Population!$B$11*Population!N$31)+Y11*Population!$L$32</f>
        <v>28.937747540591744</v>
      </c>
      <c r="AF11" s="14">
        <f>(AD10*Population!$B$12*Population!N$31)+(AF10*Population!$B$11*Population!N$33)+Y11*Population!$L$33</f>
        <v>55.47546512474004</v>
      </c>
      <c r="AG11" s="13">
        <f>(AE10*Population!$B$12*Population!N$31)+(AG10*Population!$B$11*Population!N$33)+Y11*Population!$L$34</f>
        <v>45.571430161701876</v>
      </c>
      <c r="AH11" s="14">
        <f>(AF10*Population!$B$12*Population!N$33)+(AH10*Population!$B$11*Population!N$35)+Y11*Population!$L$35</f>
        <v>88.255953393489932</v>
      </c>
      <c r="AI11" s="13">
        <f>(AG10*Population!$B$12*Population!N$33)+(AI10*Population!$B$11*Population!N$35)+Y11*Population!$L$36</f>
        <v>67.934612954002247</v>
      </c>
      <c r="AJ11" s="14">
        <f>(AH10*Population!$B$12*Population!N$35)+(AJ10*Population!$B$11*Population!N$37)+Y11*Population!$L$37</f>
        <v>74.824643586857817</v>
      </c>
      <c r="AK11" s="13">
        <f>(AI10*Population!$B$12*Population!N$35)+(AK10*Population!$B$11*Population!N$37)+Y11*Population!$L$38</f>
        <v>55.463514835324872</v>
      </c>
      <c r="AL11" s="14">
        <f>(AJ10*Population!$B$12*Population!N$37)+(AL10*Population!$B$11*Population!N$39)+Y11*Population!$L$39</f>
        <v>48.519601852928531</v>
      </c>
      <c r="AM11" s="13">
        <f>(AK10*Population!$B$12*Population!N$37)+(AM10*Population!$B$11*Population!N$39)+Y11*Population!$L$40</f>
        <v>36.101366576736318</v>
      </c>
      <c r="AN11" s="14">
        <f>(AL10*Population!$B$12*Population!N$39)+(AN10*Population!$B$11*Population!N$41)+Y11*Population!$L$41</f>
        <v>31.620614236255108</v>
      </c>
      <c r="AO11" s="13">
        <f>(AM10*Population!$B$12*Population!N$39)+(AO10*Population!$B$11*Population!N$41)+Y11*Population!$L$42</f>
        <v>24.221104115441403</v>
      </c>
      <c r="AP11" s="15">
        <f>(AN10+AO10)*Population!$B$12*Population!$N$41+AP10*Population!$B$11*Population!$N$43</f>
        <v>31.903941950794774</v>
      </c>
      <c r="AQ11" s="5">
        <f>AP10*Population!N$43*Population!$B$12+AQ10*Population!$B$11*Population!N$44</f>
        <v>17.631625561729575</v>
      </c>
      <c r="AR11" s="5">
        <f>AQ10*Population!N$44*Population!$B$12+AR10*Population!$B$11*Population!N$45</f>
        <v>8.3785943105038285</v>
      </c>
      <c r="AS11" s="5">
        <f>(AR10*Population!$B$12+AS10)*Population!N$46</f>
        <v>9.5446040646489063</v>
      </c>
    </row>
    <row r="12" spans="1:45">
      <c r="A12">
        <f>A11+Population!$B$2</f>
        <v>9</v>
      </c>
      <c r="B12" s="4">
        <f t="shared" si="4"/>
        <v>909</v>
      </c>
      <c r="C12" s="54">
        <f t="shared" si="2"/>
        <v>519</v>
      </c>
      <c r="D12" s="12">
        <f>AE11*Population!$Q$32*Population!$C$2+AG11*Population!$Q$34*Population!$C$2+AI11*Population!$Q$36*Population!$C$2+AK11*Population!$Q$38*Population!$C$2+AM11*Population!$Q$40*Population!$C$2+AO10*Population!$Q$42*Population!$C$2</f>
        <v>16.894494136059741</v>
      </c>
      <c r="E12" s="12">
        <f>IF(B11&gt;Population!$B$6*Population!$B$15,Population!$B$8,IF(Population!$J$6=1,D12,Population!$B$8*Population!$B$6*0.9/B11))</f>
        <v>23.761836638153017</v>
      </c>
      <c r="F12" s="12">
        <f>IF(B11&gt;Population!$B$6*0.75,Population!$B$8,E12)</f>
        <v>23.761836638153017</v>
      </c>
      <c r="G12" s="15">
        <f>IF(Population!$J$6=1,IF(E12&gt;H11,H11,E12),IF(E12&gt;X11,X11,E12))</f>
        <v>23.761836638153017</v>
      </c>
      <c r="H12" s="15">
        <f t="shared" si="5"/>
        <v>237</v>
      </c>
      <c r="I12" s="15">
        <f t="shared" si="6"/>
        <v>292</v>
      </c>
      <c r="J12" s="12">
        <f t="shared" si="3"/>
        <v>1.2320675105485233</v>
      </c>
      <c r="K12" s="12">
        <f>AB12*Population!$P$29+AC12*Population!$P$30+AD12*Population!$P$31+AE12*Population!$P$32+AF12*Population!$P$33+AG12*Population!$P$34+AH12*Population!$P$35+AI12*Population!$P$36+AJ12*Population!$P$37+AK12*Population!$P$38+AL12*Population!$P$39+AM12*Population!$P$40+AN12*Population!$P$41+AO12*Population!$P$42+AP12*Population!$P$43+AQ12*Population!$P$44+AR12*Population!$P$45+AS12*Population!$P$46</f>
        <v>2.4667500139509957</v>
      </c>
      <c r="L12" s="12">
        <f t="shared" si="7"/>
        <v>0.10026091408503383</v>
      </c>
      <c r="M12" s="12">
        <f t="shared" si="8"/>
        <v>9.2514874730265859</v>
      </c>
      <c r="N12" s="12">
        <f t="shared" si="0"/>
        <v>0.32123212321232125</v>
      </c>
      <c r="O12" s="12">
        <f t="shared" si="9"/>
        <v>231.09342210870716</v>
      </c>
      <c r="P12" s="12">
        <f t="shared" si="10"/>
        <v>122</v>
      </c>
      <c r="Q12" s="12">
        <f t="shared" si="11"/>
        <v>70.95328894564642</v>
      </c>
      <c r="R12" s="12">
        <f t="shared" si="12"/>
        <v>9.5446040646489063</v>
      </c>
      <c r="S12" s="12">
        <f t="shared" si="13"/>
        <v>1.121989350888843E-2</v>
      </c>
      <c r="T12" s="12">
        <f t="shared" si="1"/>
        <v>0.81414889850483718</v>
      </c>
      <c r="U12" s="12">
        <f>Population!$B$13*MIN(Z11:AA11)</f>
        <v>10.803554443675701</v>
      </c>
      <c r="V12" s="12">
        <f>X11*Population!$B$14</f>
        <v>1.1164668652110235</v>
      </c>
      <c r="W12" s="12">
        <f>AO11*T11*Population!$B$12</f>
        <v>2.8116095013221751</v>
      </c>
      <c r="X12" s="12">
        <f t="shared" si="14"/>
        <v>192.95328894564642</v>
      </c>
      <c r="Y12" s="12">
        <f>IF(B11&lt;Vehicle!$B$1*0.75,Vehicle!$B$1*0.01,0)</f>
        <v>20</v>
      </c>
      <c r="Z12" s="14">
        <f t="shared" si="15"/>
        <v>112.84460391359107</v>
      </c>
      <c r="AA12" s="13">
        <f t="shared" si="16"/>
        <v>44.619076614338269</v>
      </c>
      <c r="AB12" s="18">
        <f>(G12+Population!$B$11*AB11)*Population!N$29</f>
        <v>136.36633074682308</v>
      </c>
      <c r="AC12" s="18">
        <f>AB11*Population!$B$12*Population!$N$29+AC11*Population!$B$11*Population!$N$30+Y12*Population!$L$30</f>
        <v>92.380537637718703</v>
      </c>
      <c r="AD12" s="14">
        <f>(AC11*Population!$B$12*0.5*Population!$N$30)+(AD11*Population!$B$11*Population!N$31)+Y12*Population!$L$31</f>
        <v>31.831105106166532</v>
      </c>
      <c r="AE12" s="13">
        <f>(AC11*Population!$B$12*0.5*Population!$N$30)+(AE11*Population!$B$11*Population!N$31)+Y12*Population!$L$32</f>
        <v>31.831105106166532</v>
      </c>
      <c r="AF12" s="14">
        <f>(AD11*Population!$B$12*Population!N$31)+(AF11*Population!$B$11*Population!N$33)+Y12*Population!$L$33</f>
        <v>53.635107415148937</v>
      </c>
      <c r="AG12" s="13">
        <f>(AE11*Population!$B$12*Population!N$31)+(AG11*Population!$B$11*Population!N$33)+Y12*Population!$L$34</f>
        <v>45.154024771390318</v>
      </c>
      <c r="AH12" s="14">
        <f>(AF11*Population!$B$12*Population!N$33)+(AH11*Population!$B$11*Population!N$35)+Y12*Population!$L$35</f>
        <v>86.42022982633182</v>
      </c>
      <c r="AI12" s="13">
        <f>(AG11*Population!$B$12*Population!N$33)+(AI11*Population!$B$11*Population!N$35)+Y12*Population!$L$36</f>
        <v>67.621867367363024</v>
      </c>
      <c r="AJ12" s="14">
        <f>(AH11*Population!$B$12*Population!N$35)+(AJ11*Population!$B$11*Population!N$37)+Y12*Population!$L$37</f>
        <v>77.596054798571544</v>
      </c>
      <c r="AK12" s="13">
        <f>(AI11*Population!$B$12*Population!N$35)+(AK11*Population!$B$11*Population!N$37)+Y12*Population!$L$38</f>
        <v>58.135189688310973</v>
      </c>
      <c r="AL12" s="14">
        <f>(AJ11*Population!$B$12*Population!N$37)+(AL11*Population!$B$11*Population!N$39)+Y12*Population!$L$39</f>
        <v>53.17709222505664</v>
      </c>
      <c r="AM12" s="13">
        <f>(AK11*Population!$B$12*Population!N$37)+(AM11*Population!$B$11*Population!N$39)+Y12*Population!$L$40</f>
        <v>39.792762372042141</v>
      </c>
      <c r="AN12" s="14">
        <f>(AL11*Population!$B$12*Population!N$39)+(AN11*Population!$B$11*Population!N$41)+Y12*Population!$L$41</f>
        <v>34.969408594128559</v>
      </c>
      <c r="AO12" s="13">
        <f>(AM11*Population!$B$12*Population!N$39)+(AO11*Population!$B$11*Population!N$41)+Y12*Population!$L$42</f>
        <v>26.868521360878216</v>
      </c>
      <c r="AP12" s="15">
        <f>(AN11+AO11)*Population!$B$12*Population!$N$41+AP11*Population!$B$11*Population!$N$43</f>
        <v>35.110047497481482</v>
      </c>
      <c r="AQ12" s="5">
        <f>AP11*Population!N$43*Population!$B$12+AQ11*Population!$B$11*Population!N$44</f>
        <v>19.527916575727676</v>
      </c>
      <c r="AR12" s="5">
        <f>AQ11*Population!N$44*Population!$B$12+AR11*Population!$B$11*Population!N$45</f>
        <v>9.3193775188614403</v>
      </c>
      <c r="AS12" s="5">
        <f>(AR11*Population!$B$12+AS11)*Population!N$46</f>
        <v>10.198883199579582</v>
      </c>
    </row>
    <row r="13" spans="1:45">
      <c r="A13">
        <f>A12+Population!$B$2</f>
        <v>10</v>
      </c>
      <c r="B13" s="4">
        <f t="shared" si="4"/>
        <v>950</v>
      </c>
      <c r="C13" s="54">
        <f t="shared" si="2"/>
        <v>535</v>
      </c>
      <c r="D13" s="12">
        <f>AE12*Population!$Q$32*Population!$C$2+AG12*Population!$Q$34*Population!$C$2+AI12*Population!$Q$36*Population!$C$2+AK12*Population!$Q$38*Population!$C$2+AM12*Population!$Q$40*Population!$C$2+AO11*Population!$Q$42*Population!$C$2</f>
        <v>17.278550590192683</v>
      </c>
      <c r="E13" s="12">
        <f>IF(B12&gt;Population!$B$6*Population!$B$15,Population!$B$8,IF(Population!$J$6=1,D13,Population!$B$8*Population!$B$6*0.9/B12))</f>
        <v>23.761836638153017</v>
      </c>
      <c r="F13" s="12">
        <f>IF(B12&gt;Population!$B$6*0.75,Population!$B$8,E13)</f>
        <v>23.761836638153017</v>
      </c>
      <c r="G13" s="15">
        <f>IF(Population!$J$6=1,IF(E13&gt;H12,H12,E13),IF(E13&gt;X12,X12,E13))</f>
        <v>23.761836638153017</v>
      </c>
      <c r="H13" s="15">
        <f t="shared" si="5"/>
        <v>245</v>
      </c>
      <c r="I13" s="15">
        <f t="shared" si="6"/>
        <v>309</v>
      </c>
      <c r="J13" s="12">
        <f t="shared" si="3"/>
        <v>1.2612244897959184</v>
      </c>
      <c r="K13" s="12">
        <f>AB13*Population!$P$29+AC13*Population!$P$30+AD13*Population!$P$31+AE13*Population!$P$32+AF13*Population!$P$33+AG13*Population!$P$34+AH13*Population!$P$35+AI13*Population!$P$36+AJ13*Population!$P$37+AK13*Population!$P$38+AL13*Population!$P$39+AM13*Population!$P$40+AN13*Population!$P$41+AO13*Population!$P$42+AP13*Population!$P$43+AQ13*Population!$P$44+AR13*Population!$P$45+AS13*Population!$P$46</f>
        <v>2.6374198607738655</v>
      </c>
      <c r="L13" s="12">
        <f t="shared" si="7"/>
        <v>9.6987088318991901E-2</v>
      </c>
      <c r="M13" s="12">
        <f t="shared" si="8"/>
        <v>9.2772606826032167</v>
      </c>
      <c r="N13" s="12">
        <f t="shared" si="0"/>
        <v>0.32526315789473687</v>
      </c>
      <c r="O13" s="12">
        <f t="shared" si="9"/>
        <v>241.34931671757511</v>
      </c>
      <c r="P13" s="12">
        <f t="shared" si="10"/>
        <v>129</v>
      </c>
      <c r="Q13" s="12">
        <f t="shared" si="11"/>
        <v>70.825341641212447</v>
      </c>
      <c r="R13" s="12">
        <f t="shared" si="12"/>
        <v>10.198883199579582</v>
      </c>
      <c r="S13" s="12">
        <f t="shared" si="13"/>
        <v>1.1523911565258093E-2</v>
      </c>
      <c r="T13" s="12">
        <f t="shared" si="1"/>
        <v>0.81561363935188758</v>
      </c>
      <c r="U13" s="12">
        <f>Population!$B$13*MIN(Z12:AA12)</f>
        <v>11.154769153584567</v>
      </c>
      <c r="V13" s="12">
        <f>X12*Population!$B$14</f>
        <v>1.1577197336738785</v>
      </c>
      <c r="W13" s="12">
        <f>AO12*T12*Population!$B$12</f>
        <v>3.1249967243446695</v>
      </c>
      <c r="X13" s="12">
        <f t="shared" ref="X13:X76" si="17">X12+U13-W13-V13</f>
        <v>199.82534164121245</v>
      </c>
      <c r="Y13" s="12">
        <f>IF(B12&lt;Vehicle!$B$1*0.75,Vehicle!$B$1*0.01,0)</f>
        <v>20</v>
      </c>
      <c r="Z13" s="14">
        <f t="shared" si="15"/>
        <v>112.99421337451611</v>
      </c>
      <c r="AA13" s="13">
        <f t="shared" si="16"/>
        <v>46.046525527870301</v>
      </c>
      <c r="AB13" s="18">
        <f>(G13+Population!$B$11*AB12)*Population!N$29</f>
        <v>140.59016020379784</v>
      </c>
      <c r="AC13" s="18">
        <f>AB12*Population!$B$12*Population!$N$29+AC12*Population!$B$11*Population!$N$30+Y13*Population!$L$30</f>
        <v>99.638496873863033</v>
      </c>
      <c r="AD13" s="14">
        <f>(AC12*Population!$B$12*0.5*Population!$N$30)+(AD12*Population!$B$11*Population!N$31)+Y13*Population!$L$31</f>
        <v>34.854928055196751</v>
      </c>
      <c r="AE13" s="13">
        <f>(AC12*Population!$B$12*0.5*Population!$N$30)+(AE12*Population!$B$11*Population!N$31)+Y13*Population!$L$32</f>
        <v>34.854928055196751</v>
      </c>
      <c r="AF13" s="14">
        <f>(AD12*Population!$B$12*Population!N$31)+(AF12*Population!$B$11*Population!N$33)+Y13*Population!$L$33</f>
        <v>52.472104144242024</v>
      </c>
      <c r="AG13" s="13">
        <f>(AE12*Population!$B$12*Population!N$31)+(AG12*Population!$B$11*Population!N$33)+Y13*Population!$L$34</f>
        <v>45.209532568242778</v>
      </c>
      <c r="AH13" s="14">
        <f>(AF12*Population!$B$12*Population!N$33)+(AH12*Population!$B$11*Population!N$35)+Y13*Population!$L$35</f>
        <v>84.587115866881987</v>
      </c>
      <c r="AI13" s="13">
        <f>(AG12*Population!$B$12*Population!N$33)+(AI12*Population!$B$11*Population!N$35)+Y13*Population!$L$36</f>
        <v>67.29474189684133</v>
      </c>
      <c r="AJ13" s="14">
        <f>(AH12*Population!$B$12*Population!N$35)+(AJ12*Population!$B$11*Population!N$37)+Y13*Population!$L$37</f>
        <v>79.705246460745002</v>
      </c>
      <c r="AK13" s="13">
        <f>(AI12*Population!$B$12*Population!N$35)+(AK12*Population!$B$11*Population!N$37)+Y13*Population!$L$38</f>
        <v>60.376207732382028</v>
      </c>
      <c r="AL13" s="14">
        <f>(AJ12*Population!$B$12*Population!N$37)+(AL12*Population!$B$11*Population!N$39)+Y13*Population!$L$39</f>
        <v>57.55671766018078</v>
      </c>
      <c r="AM13" s="13">
        <f>(AK12*Population!$B$12*Population!N$37)+(AM12*Population!$B$11*Population!N$39)+Y13*Population!$L$40</f>
        <v>43.331675961976622</v>
      </c>
      <c r="AN13" s="14">
        <f>(AL12*Population!$B$12*Population!N$39)+(AN12*Population!$B$11*Population!N$41)+Y13*Population!$L$41</f>
        <v>38.498370883678788</v>
      </c>
      <c r="AO13" s="13">
        <f>(AM12*Population!$B$12*Population!N$39)+(AO12*Population!$B$11*Population!N$41)+Y13*Population!$L$42</f>
        <v>29.659709009639972</v>
      </c>
      <c r="AP13" s="15">
        <f>(AN12+AO12)*Population!$B$12*Population!$N$41+AP12*Population!$B$11*Population!$N$43</f>
        <v>38.693171292605939</v>
      </c>
      <c r="AQ13" s="5">
        <f>AP12*Population!N$43*Population!$B$12+AQ12*Population!$B$11*Population!N$44</f>
        <v>21.596219248063807</v>
      </c>
      <c r="AR13" s="5">
        <f>AQ12*Population!N$44*Population!$B$12+AR12*Population!$B$11*Population!N$45</f>
        <v>10.353959225743575</v>
      </c>
      <c r="AS13" s="5">
        <f>(AR12*Population!$B$12+AS12)*Population!N$46</f>
        <v>10.947715986995188</v>
      </c>
    </row>
    <row r="14" spans="1:45">
      <c r="A14">
        <f>A13+Population!$B$2</f>
        <v>11</v>
      </c>
      <c r="B14" s="4">
        <f t="shared" si="4"/>
        <v>990</v>
      </c>
      <c r="C14" s="54">
        <f t="shared" si="2"/>
        <v>550</v>
      </c>
      <c r="D14" s="12">
        <f>AE13*Population!$Q$32*Population!$C$2+AG13*Population!$Q$34*Population!$C$2+AI13*Population!$Q$36*Population!$C$2+AK13*Population!$Q$38*Population!$C$2+AM13*Population!$Q$40*Population!$C$2+AO12*Population!$Q$42*Population!$C$2</f>
        <v>17.667547292402173</v>
      </c>
      <c r="E14" s="12">
        <f>IF(B13&gt;Population!$B$6*Population!$B$15,Population!$B$8,IF(Population!$J$6=1,D14,Population!$B$8*Population!$B$6*0.9/B13))</f>
        <v>23.761836638153017</v>
      </c>
      <c r="F14" s="12">
        <f>IF(B13&gt;Population!$B$6*0.75,Population!$B$8,E14)</f>
        <v>23.761836638153017</v>
      </c>
      <c r="G14" s="15">
        <f>IF(Population!$J$6=1,IF(E14&gt;H13,H13,E14),IF(E14&gt;X13,X13,E14))</f>
        <v>23.761836638153017</v>
      </c>
      <c r="H14" s="15">
        <f t="shared" si="5"/>
        <v>254</v>
      </c>
      <c r="I14" s="15">
        <f t="shared" si="6"/>
        <v>326</v>
      </c>
      <c r="J14" s="12">
        <f t="shared" si="3"/>
        <v>1.2834645669291338</v>
      </c>
      <c r="K14" s="12">
        <f>AB14*Population!$P$29+AC14*Population!$P$30+AD14*Population!$P$31+AE14*Population!$P$32+AF14*Population!$P$33+AG14*Population!$P$34+AH14*Population!$P$35+AI14*Population!$P$36+AJ14*Population!$P$37+AK14*Population!$P$38+AL14*Population!$P$39+AM14*Population!$P$40+AN14*Population!$P$41+AO14*Population!$P$42+AP14*Population!$P$43+AQ14*Population!$P$44+AR14*Population!$P$45+AS14*Population!$P$46</f>
        <v>2.8211629013646409</v>
      </c>
      <c r="L14" s="12">
        <f t="shared" si="7"/>
        <v>9.3550537945484319E-2</v>
      </c>
      <c r="M14" s="12">
        <f t="shared" si="8"/>
        <v>9.3087413074509548</v>
      </c>
      <c r="N14" s="12">
        <f t="shared" si="0"/>
        <v>0.3292929292929293</v>
      </c>
      <c r="O14" s="12">
        <f t="shared" si="9"/>
        <v>250.63563325546892</v>
      </c>
      <c r="P14" s="12">
        <f t="shared" si="10"/>
        <v>136</v>
      </c>
      <c r="Q14" s="12">
        <f t="shared" si="11"/>
        <v>70.682183372265541</v>
      </c>
      <c r="R14" s="12">
        <f t="shared" si="12"/>
        <v>10.947715986995188</v>
      </c>
      <c r="S14" s="12">
        <f t="shared" si="13"/>
        <v>1.1918230711830353E-2</v>
      </c>
      <c r="T14" s="12">
        <f t="shared" si="1"/>
        <v>0.81370938335537613</v>
      </c>
      <c r="U14" s="12">
        <f>Population!$B$13*MIN(Z13:AA13)</f>
        <v>11.511631381967575</v>
      </c>
      <c r="V14" s="12">
        <f>X13*Population!$B$14</f>
        <v>1.1989520498472748</v>
      </c>
      <c r="W14" s="12">
        <f>AO13*T13*Population!$B$12</f>
        <v>3.4558376010672034</v>
      </c>
      <c r="X14" s="12">
        <f t="shared" si="17"/>
        <v>206.68218337226554</v>
      </c>
      <c r="Y14" s="12">
        <f>IF(B13&lt;Vehicle!$B$1*0.75,Vehicle!$B$1*0.01,0)</f>
        <v>20</v>
      </c>
      <c r="Z14" s="14">
        <f t="shared" si="15"/>
        <v>113.07282109356575</v>
      </c>
      <c r="AA14" s="13">
        <f t="shared" si="16"/>
        <v>47.506891564191591</v>
      </c>
      <c r="AB14" s="18">
        <f>(G14+Population!$B$11*AB13)*Population!N$29</f>
        <v>144.20911555998228</v>
      </c>
      <c r="AC14" s="18">
        <f>AB13*Population!$B$12*Population!$N$29+AC13*Population!$B$11*Population!$N$30+Y14*Population!$L$30</f>
        <v>106.46136426730766</v>
      </c>
      <c r="AD14" s="14">
        <f>(AC13*Population!$B$12*0.5*Population!$N$30)+(AD13*Population!$B$11*Population!N$31)+Y14*Population!$L$31</f>
        <v>37.962615279799159</v>
      </c>
      <c r="AE14" s="13">
        <f>(AC13*Population!$B$12*0.5*Population!$N$30)+(AE13*Population!$B$11*Population!N$31)+Y14*Population!$L$32</f>
        <v>37.962615279799159</v>
      </c>
      <c r="AF14" s="14">
        <f>(AD13*Population!$B$12*Population!N$31)+(AF13*Population!$B$11*Population!N$33)+Y14*Population!$L$33</f>
        <v>51.907757240387937</v>
      </c>
      <c r="AG14" s="13">
        <f>(AE13*Population!$B$12*Population!N$31)+(AG13*Population!$B$11*Population!N$33)+Y14*Population!$L$34</f>
        <v>45.688628372998807</v>
      </c>
      <c r="AH14" s="14">
        <f>(AF13*Population!$B$12*Population!N$33)+(AH13*Population!$B$11*Population!N$35)+Y14*Population!$L$35</f>
        <v>82.852907122214006</v>
      </c>
      <c r="AI14" s="13">
        <f>(AG13*Population!$B$12*Population!N$33)+(AI13*Population!$B$11*Population!N$35)+Y14*Population!$L$36</f>
        <v>67.022809119728805</v>
      </c>
      <c r="AJ14" s="14">
        <f>(AH13*Population!$B$12*Population!N$35)+(AJ13*Population!$B$11*Population!N$37)+Y14*Population!$L$37</f>
        <v>81.248283275665685</v>
      </c>
      <c r="AK14" s="13">
        <f>(AI13*Population!$B$12*Population!N$35)+(AK13*Population!$B$11*Population!N$37)+Y14*Population!$L$38</f>
        <v>62.246749781944935</v>
      </c>
      <c r="AL14" s="14">
        <f>(AJ13*Population!$B$12*Population!N$37)+(AL13*Population!$B$11*Population!N$39)+Y14*Population!$L$39</f>
        <v>61.60420928016854</v>
      </c>
      <c r="AM14" s="13">
        <f>(AK13*Population!$B$12*Population!N$37)+(AM13*Population!$B$11*Population!N$39)+Y14*Population!$L$40</f>
        <v>46.678737182616231</v>
      </c>
      <c r="AN14" s="14">
        <f>(AL13*Population!$B$12*Population!N$39)+(AN13*Population!$B$11*Population!N$41)+Y14*Population!$L$41</f>
        <v>42.141847547395137</v>
      </c>
      <c r="AO14" s="13">
        <f>(AM13*Population!$B$12*Population!N$39)+(AO13*Population!$B$11*Population!N$41)+Y14*Population!$L$42</f>
        <v>32.552150479168347</v>
      </c>
      <c r="AP14" s="15">
        <f>(AN13+AO13)*Population!$B$12*Population!$N$41+AP13*Population!$B$11*Population!$N$43</f>
        <v>42.643298740618697</v>
      </c>
      <c r="AQ14" s="5">
        <f>AP13*Population!N$43*Population!$B$12+AQ13*Population!$B$11*Population!N$44</f>
        <v>23.864360821689516</v>
      </c>
      <c r="AR14" s="5">
        <f>AQ13*Population!N$44*Population!$B$12+AR13*Population!$B$11*Population!N$45</f>
        <v>11.489272841781343</v>
      </c>
      <c r="AS14" s="5">
        <f>(AR13*Population!$B$12+AS13)*Population!N$46</f>
        <v>11.79904840471205</v>
      </c>
    </row>
    <row r="15" spans="1:45">
      <c r="A15">
        <f>A14+Population!$B$2</f>
        <v>12</v>
      </c>
      <c r="B15" s="4">
        <f t="shared" si="4"/>
        <v>1030</v>
      </c>
      <c r="C15" s="54">
        <f t="shared" si="2"/>
        <v>565</v>
      </c>
      <c r="D15" s="12">
        <f>AE14*Population!$Q$32*Population!$C$2+AG14*Population!$Q$34*Population!$C$2+AI14*Population!$Q$36*Population!$C$2+AK14*Population!$Q$38*Population!$C$2+AM14*Population!$Q$40*Population!$C$2+AO13*Population!$Q$42*Population!$C$2</f>
        <v>18.065686803104203</v>
      </c>
      <c r="E15" s="12">
        <f>IF(B14&gt;Population!$B$6*Population!$B$15,Population!$B$8,IF(Population!$J$6=1,D15,Population!$B$8*Population!$B$6*0.9/B14))</f>
        <v>23.761836638153017</v>
      </c>
      <c r="F15" s="12">
        <f>IF(B14&gt;Population!$B$6*0.75,Population!$B$8,E15)</f>
        <v>23.761836638153017</v>
      </c>
      <c r="G15" s="15">
        <f>IF(Population!$J$6=1,IF(E15&gt;H14,H14,E15),IF(E15&gt;X14,X14,E15))</f>
        <v>23.761836638153017</v>
      </c>
      <c r="H15" s="15">
        <f t="shared" si="5"/>
        <v>262</v>
      </c>
      <c r="I15" s="15">
        <f t="shared" si="6"/>
        <v>342</v>
      </c>
      <c r="J15" s="12">
        <f t="shared" si="3"/>
        <v>1.3053435114503817</v>
      </c>
      <c r="K15" s="12">
        <f>AB15*Population!$P$29+AC15*Population!$P$30+AD15*Population!$P$31+AE15*Population!$P$32+AF15*Population!$P$33+AG15*Population!$P$34+AH15*Population!$P$35+AI15*Population!$P$36+AJ15*Population!$P$37+AK15*Population!$P$38+AL15*Population!$P$39+AM15*Population!$P$40+AN15*Population!$P$41+AO15*Population!$P$42+AP15*Population!$P$43+AQ15*Population!$P$44+AR15*Population!$P$45+AS15*Population!$P$46</f>
        <v>3.018935487596349</v>
      </c>
      <c r="L15" s="12">
        <f t="shared" si="7"/>
        <v>9.0694032970049687E-2</v>
      </c>
      <c r="M15" s="12">
        <f t="shared" si="8"/>
        <v>9.349691589293549</v>
      </c>
      <c r="N15" s="12">
        <f t="shared" si="0"/>
        <v>0.33203883495145631</v>
      </c>
      <c r="O15" s="12">
        <f t="shared" si="9"/>
        <v>260.93037090049614</v>
      </c>
      <c r="P15" s="12">
        <f t="shared" si="10"/>
        <v>143</v>
      </c>
      <c r="Q15" s="12">
        <f t="shared" si="11"/>
        <v>70.534814549751928</v>
      </c>
      <c r="R15" s="12">
        <f t="shared" si="12"/>
        <v>11.79904840471205</v>
      </c>
      <c r="S15" s="12">
        <f t="shared" si="13"/>
        <v>1.2389675191810891E-2</v>
      </c>
      <c r="T15" s="12">
        <f t="shared" si="1"/>
        <v>0.81501837614409134</v>
      </c>
      <c r="U15" s="12">
        <f>Population!$B$13*MIN(Z14:AA14)</f>
        <v>11.876722891047898</v>
      </c>
      <c r="V15" s="12">
        <f>X14*Population!$B$14</f>
        <v>1.2400931002335933</v>
      </c>
      <c r="W15" s="12">
        <f>AO14*T14*Population!$B$12</f>
        <v>3.7839986133279262</v>
      </c>
      <c r="X15" s="12">
        <f t="shared" si="17"/>
        <v>213.53481454975193</v>
      </c>
      <c r="Y15" s="12">
        <f>IF(B14&lt;Vehicle!$B$1*0.75,Vehicle!$B$1*0.01,0)</f>
        <v>20</v>
      </c>
      <c r="Z15" s="14">
        <f t="shared" si="15"/>
        <v>113.06581249551837</v>
      </c>
      <c r="AA15" s="13">
        <f t="shared" si="16"/>
        <v>48.987082060348058</v>
      </c>
      <c r="AB15" s="18">
        <f>(G15+Population!$B$11*AB14)*Population!N$29</f>
        <v>147.30981789739073</v>
      </c>
      <c r="AC15" s="18">
        <f>AB14*Population!$B$12*Population!$N$29+AC14*Population!$B$11*Population!$N$30+Y15*Population!$L$30</f>
        <v>112.82500420302144</v>
      </c>
      <c r="AD15" s="14">
        <f>(AC14*Population!$B$12*0.5*Population!$N$30)+(AD14*Population!$B$11*Population!N$31)+Y15*Population!$L$31</f>
        <v>41.111046667828404</v>
      </c>
      <c r="AE15" s="13">
        <f>(AC14*Population!$B$12*0.5*Population!$N$30)+(AE14*Population!$B$11*Population!N$31)+Y15*Population!$L$32</f>
        <v>41.111046667828404</v>
      </c>
      <c r="AF15" s="14">
        <f>(AD14*Population!$B$12*Population!N$31)+(AF14*Population!$B$11*Population!N$33)+Y15*Population!$L$33</f>
        <v>51.86802454198066</v>
      </c>
      <c r="AG15" s="13">
        <f>(AE14*Population!$B$12*Population!N$31)+(AG14*Population!$B$11*Population!N$33)+Y15*Population!$L$34</f>
        <v>46.542422795484796</v>
      </c>
      <c r="AH15" s="14">
        <f>(AF14*Population!$B$12*Population!N$33)+(AH14*Population!$B$11*Population!N$35)+Y15*Population!$L$35</f>
        <v>81.288752341567715</v>
      </c>
      <c r="AI15" s="13">
        <f>(AG14*Population!$B$12*Population!N$33)+(AI14*Population!$B$11*Population!N$35)+Y15*Population!$L$36</f>
        <v>66.85854843821042</v>
      </c>
      <c r="AJ15" s="14">
        <f>(AH14*Population!$B$12*Population!N$35)+(AJ14*Population!$B$11*Population!N$37)+Y15*Population!$L$37</f>
        <v>82.321078424456815</v>
      </c>
      <c r="AK15" s="13">
        <f>(AI14*Population!$B$12*Population!N$35)+(AK14*Population!$B$11*Population!N$37)+Y15*Population!$L$38</f>
        <v>63.80822020862864</v>
      </c>
      <c r="AL15" s="14">
        <f>(AJ14*Population!$B$12*Population!N$37)+(AL14*Population!$B$11*Population!N$39)+Y15*Population!$L$39</f>
        <v>65.286837394554297</v>
      </c>
      <c r="AM15" s="13">
        <f>(AK14*Population!$B$12*Population!N$37)+(AM14*Population!$B$11*Population!N$39)+Y15*Population!$L$40</f>
        <v>49.808845723673898</v>
      </c>
      <c r="AN15" s="14">
        <f>(AL14*Population!$B$12*Population!N$39)+(AN14*Population!$B$11*Population!N$41)+Y15*Population!$L$41</f>
        <v>45.835934342710779</v>
      </c>
      <c r="AO15" s="13">
        <f>(AM14*Population!$B$12*Population!N$39)+(AO14*Population!$B$11*Population!N$41)+Y15*Population!$L$42</f>
        <v>35.50385944410224</v>
      </c>
      <c r="AP15" s="15">
        <f>(AN14+AO14)*Population!$B$12*Population!$N$41+AP14*Population!$B$11*Population!$N$43</f>
        <v>46.936484928406827</v>
      </c>
      <c r="AQ15" s="5">
        <f>AP14*Population!N$43*Population!$B$12+AQ14*Population!$B$11*Population!N$44</f>
        <v>26.354600008448976</v>
      </c>
      <c r="AR15" s="5">
        <f>AQ14*Population!N$44*Population!$B$12+AR14*Population!$B$11*Population!N$45</f>
        <v>12.734907553231368</v>
      </c>
      <c r="AS15" s="5">
        <f>(AR14*Population!$B$12+AS14)*Population!N$46</f>
        <v>12.761365447565218</v>
      </c>
    </row>
    <row r="16" spans="1:45">
      <c r="A16">
        <f>A15+Population!$B$2</f>
        <v>13</v>
      </c>
      <c r="B16" s="4">
        <f t="shared" si="4"/>
        <v>1070</v>
      </c>
      <c r="C16" s="54">
        <f t="shared" si="2"/>
        <v>580</v>
      </c>
      <c r="D16" s="12">
        <f>AE15*Population!$Q$32*Population!$C$2+AG15*Population!$Q$34*Population!$C$2+AI15*Population!$Q$36*Population!$C$2+AK15*Population!$Q$38*Population!$C$2+AM15*Population!$Q$40*Population!$C$2+AO14*Population!$Q$42*Population!$C$2</f>
        <v>18.476210296820867</v>
      </c>
      <c r="E16" s="12">
        <f>IF(B15&gt;Population!$B$6*Population!$B$15,Population!$B$8,IF(Population!$J$6=1,D16,Population!$B$8*Population!$B$6*0.9/B15))</f>
        <v>23.761836638153017</v>
      </c>
      <c r="F16" s="12">
        <f>IF(B15&gt;Population!$B$6*0.75,Population!$B$8,E16)</f>
        <v>23.761836638153017</v>
      </c>
      <c r="G16" s="15">
        <f>IF(Population!$J$6=1,IF(E16&gt;H15,H15,E16),IF(E16&gt;X15,X15,E16))</f>
        <v>23.761836638153017</v>
      </c>
      <c r="H16" s="15">
        <f t="shared" si="5"/>
        <v>270</v>
      </c>
      <c r="I16" s="15">
        <f t="shared" si="6"/>
        <v>357</v>
      </c>
      <c r="J16" s="12">
        <f t="shared" si="3"/>
        <v>1.3222222222222222</v>
      </c>
      <c r="K16" s="12">
        <f>AB16*Population!$P$29+AC16*Population!$P$30+AD16*Population!$P$31+AE16*Population!$P$32+AF16*Population!$P$33+AG16*Population!$P$34+AH16*Population!$P$35+AI16*Population!$P$36+AJ16*Population!$P$37+AK16*Population!$P$38+AL16*Population!$P$39+AM16*Population!$P$40+AN16*Population!$P$41+AO16*Population!$P$42+AP16*Population!$P$43+AQ16*Population!$P$44+AR16*Population!$P$45+AS16*Population!$P$46</f>
        <v>3.2316820800240653</v>
      </c>
      <c r="L16" s="12">
        <f t="shared" si="7"/>
        <v>8.8006802363529688E-2</v>
      </c>
      <c r="M16" s="12">
        <f t="shared" si="8"/>
        <v>9.4030365951122601</v>
      </c>
      <c r="N16" s="12">
        <f t="shared" si="0"/>
        <v>0.33364485981308412</v>
      </c>
      <c r="O16" s="12">
        <f t="shared" si="9"/>
        <v>272.26676132234206</v>
      </c>
      <c r="P16" s="12">
        <f t="shared" si="10"/>
        <v>149</v>
      </c>
      <c r="Q16" s="12">
        <f t="shared" si="11"/>
        <v>71.366619338828968</v>
      </c>
      <c r="R16" s="12">
        <f t="shared" si="12"/>
        <v>12.761365447565218</v>
      </c>
      <c r="S16" s="12">
        <f t="shared" si="13"/>
        <v>1.2938340304368716E-2</v>
      </c>
      <c r="T16" s="12">
        <f t="shared" si="1"/>
        <v>0.81617266421788504</v>
      </c>
      <c r="U16" s="12">
        <f>Population!$B$13*MIN(Z15:AA15)</f>
        <v>12.246770515087015</v>
      </c>
      <c r="V16" s="12">
        <f>X15*Population!$B$14</f>
        <v>1.2812088872985117</v>
      </c>
      <c r="W16" s="12">
        <f>AO15*T15*Population!$B$12</f>
        <v>4.1337568387114665</v>
      </c>
      <c r="X16" s="12">
        <f t="shared" si="17"/>
        <v>220.36661933882897</v>
      </c>
      <c r="Y16" s="12">
        <f>IF(B15&lt;Vehicle!$B$1*0.75,Vehicle!$B$1*0.01,0)</f>
        <v>20</v>
      </c>
      <c r="Z16" s="14">
        <f t="shared" si="15"/>
        <v>112.98908209532954</v>
      </c>
      <c r="AA16" s="13">
        <f t="shared" si="16"/>
        <v>50.50140972496348</v>
      </c>
      <c r="AB16" s="18">
        <f>(G16+Population!$B$11*AB15)*Population!N$29</f>
        <v>149.96648371361312</v>
      </c>
      <c r="AC16" s="18">
        <f>AB15*Population!$B$12*Population!$N$29+AC15*Population!$B$11*Population!$N$30+Y16*Population!$L$30</f>
        <v>118.72110308196842</v>
      </c>
      <c r="AD16" s="14">
        <f>(AC15*Population!$B$12*0.5*Population!$N$30)+(AD15*Population!$B$11*Population!N$31)+Y16*Population!$L$31</f>
        <v>44.261573761523103</v>
      </c>
      <c r="AE16" s="13">
        <f>(AC15*Population!$B$12*0.5*Population!$N$30)+(AE15*Population!$B$11*Population!N$31)+Y16*Population!$L$32</f>
        <v>44.261573761523103</v>
      </c>
      <c r="AF16" s="14">
        <f>(AD15*Population!$B$12*Population!N$31)+(AF15*Population!$B$11*Population!N$33)+Y16*Population!$L$33</f>
        <v>52.283347675415271</v>
      </c>
      <c r="AG16" s="13">
        <f>(AE15*Population!$B$12*Population!N$31)+(AG15*Population!$B$11*Population!N$33)+Y16*Population!$L$34</f>
        <v>47.722896434245456</v>
      </c>
      <c r="AH16" s="14">
        <f>(AF15*Population!$B$12*Population!N$33)+(AH15*Population!$B$11*Population!N$35)+Y16*Population!$L$35</f>
        <v>79.9449517052891</v>
      </c>
      <c r="AI16" s="13">
        <f>(AG15*Population!$B$12*Population!N$33)+(AI15*Population!$B$11*Population!N$35)+Y16*Population!$L$36</f>
        <v>66.8398782882593</v>
      </c>
      <c r="AJ16" s="14">
        <f>(AH15*Population!$B$12*Population!N$35)+(AJ15*Population!$B$11*Population!N$37)+Y16*Population!$L$37</f>
        <v>83.015829951480441</v>
      </c>
      <c r="AK16" s="13">
        <f>(AI15*Population!$B$12*Population!N$35)+(AK15*Population!$B$11*Population!N$37)+Y16*Population!$L$38</f>
        <v>65.120632940025359</v>
      </c>
      <c r="AL16" s="14">
        <f>(AJ15*Population!$B$12*Population!N$37)+(AL15*Population!$B$11*Population!N$39)+Y16*Population!$L$39</f>
        <v>68.590277422060339</v>
      </c>
      <c r="AM16" s="13">
        <f>(AK15*Population!$B$12*Population!N$37)+(AM15*Population!$B$11*Population!N$39)+Y16*Population!$L$40</f>
        <v>52.709283552162105</v>
      </c>
      <c r="AN16" s="14">
        <f>(AL15*Population!$B$12*Population!N$39)+(AN15*Population!$B$11*Population!N$41)+Y16*Population!$L$41</f>
        <v>49.521294679913339</v>
      </c>
      <c r="AO16" s="13">
        <f>(AM15*Population!$B$12*Population!N$39)+(AO15*Population!$B$11*Population!N$41)+Y16*Population!$L$42</f>
        <v>38.475337849100264</v>
      </c>
      <c r="AP16" s="15">
        <f>(AN15+AO15)*Population!$B$12*Population!$N$41+AP15*Population!$B$11*Population!$N$43</f>
        <v>51.537256265542524</v>
      </c>
      <c r="AQ16" s="5">
        <f>AP15*Population!N$43*Population!$B$12+AQ15*Population!$B$11*Population!N$44</f>
        <v>29.082481480428889</v>
      </c>
      <c r="AR16" s="5">
        <f>AQ15*Population!N$44*Population!$B$12+AR15*Population!$B$11*Population!N$45</f>
        <v>14.101824185748633</v>
      </c>
      <c r="AS16" s="5">
        <f>(AR15*Population!$B$12+AS15)*Population!N$46</f>
        <v>13.844024125674526</v>
      </c>
    </row>
    <row r="17" spans="1:45">
      <c r="A17">
        <f>A16+Population!$B$2</f>
        <v>14</v>
      </c>
      <c r="B17" s="4">
        <f t="shared" si="4"/>
        <v>1109</v>
      </c>
      <c r="C17" s="54">
        <f t="shared" si="2"/>
        <v>595</v>
      </c>
      <c r="D17" s="12">
        <f>AE16*Population!$Q$32*Population!$C$2+AG16*Population!$Q$34*Population!$C$2+AI16*Population!$Q$36*Population!$C$2+AK16*Population!$Q$38*Population!$C$2+AM16*Population!$Q$40*Population!$C$2+AO15*Population!$Q$42*Population!$C$2</f>
        <v>18.901459906332594</v>
      </c>
      <c r="E17" s="12">
        <f>IF(B16&gt;Population!$B$6*Population!$B$15,Population!$B$8,IF(Population!$J$6=1,D17,Population!$B$8*Population!$B$6*0.9/B16))</f>
        <v>23.761836638153017</v>
      </c>
      <c r="F17" s="12">
        <f>IF(B16&gt;Population!$B$6*0.75,Population!$B$8,E17)</f>
        <v>23.761836638153017</v>
      </c>
      <c r="G17" s="15">
        <f>IF(Population!$J$6=1,IF(E17&gt;H16,H16,E17),IF(E17&gt;X16,X16,E17))</f>
        <v>23.761836638153017</v>
      </c>
      <c r="H17" s="15">
        <f t="shared" si="5"/>
        <v>279</v>
      </c>
      <c r="I17" s="15">
        <f t="shared" si="6"/>
        <v>371</v>
      </c>
      <c r="J17" s="12">
        <f t="shared" si="3"/>
        <v>1.3297491039426523</v>
      </c>
      <c r="K17" s="12">
        <f>AB17*Population!$P$29+AC17*Population!$P$30+AD17*Population!$P$31+AE17*Population!$P$32+AF17*Population!$P$33+AG17*Population!$P$34+AH17*Population!$P$35+AI17*Population!$P$36+AJ17*Population!$P$37+AK17*Population!$P$38+AL17*Population!$P$39+AM17*Population!$P$40+AN17*Population!$P$41+AO17*Population!$P$42+AP17*Population!$P$43+AQ17*Population!$P$44+AR17*Population!$P$45+AS17*Population!$P$46</f>
        <v>3.4602973438809599</v>
      </c>
      <c r="L17" s="12">
        <f t="shared" si="7"/>
        <v>8.5167873255028739E-2</v>
      </c>
      <c r="M17" s="12">
        <f t="shared" si="8"/>
        <v>9.4709136707920969</v>
      </c>
      <c r="N17" s="12">
        <f t="shared" si="0"/>
        <v>0.33453561767357981</v>
      </c>
      <c r="O17" s="12">
        <f t="shared" si="9"/>
        <v>283.63260417735012</v>
      </c>
      <c r="P17" s="12">
        <f t="shared" si="10"/>
        <v>155</v>
      </c>
      <c r="Q17" s="12">
        <f t="shared" si="11"/>
        <v>72.183697911324941</v>
      </c>
      <c r="R17" s="12">
        <f t="shared" si="12"/>
        <v>13.844024125674526</v>
      </c>
      <c r="S17" s="12">
        <f t="shared" si="13"/>
        <v>1.3577453074301526E-2</v>
      </c>
      <c r="T17" s="12">
        <f t="shared" si="1"/>
        <v>0.81427848713736539</v>
      </c>
      <c r="U17" s="12">
        <f>Population!$B$13*MIN(Z16:AA16)</f>
        <v>12.62535243124087</v>
      </c>
      <c r="V17" s="12">
        <f>X16*Population!$B$14</f>
        <v>1.3221997160329739</v>
      </c>
      <c r="W17" s="12">
        <f>AO16*T16*Population!$B$12</f>
        <v>4.4860741427119128</v>
      </c>
      <c r="X17" s="12">
        <f t="shared" si="17"/>
        <v>227.18369791132494</v>
      </c>
      <c r="Y17" s="12">
        <f>IF(B16&lt;Vehicle!$B$1*0.75,Vehicle!$B$1*0.01,0)</f>
        <v>20</v>
      </c>
      <c r="Z17" s="14">
        <f t="shared" si="15"/>
        <v>112.83868695722509</v>
      </c>
      <c r="AA17" s="13">
        <f t="shared" si="16"/>
        <v>52.041545046273882</v>
      </c>
      <c r="AB17" s="18">
        <f>(G17+Population!$B$11*AB16)*Population!N$29</f>
        <v>152.24270132209972</v>
      </c>
      <c r="AC17" s="18">
        <f>AB16*Population!$B$12*Population!$N$29+AC16*Population!$B$11*Population!$N$30+Y17*Population!$L$30</f>
        <v>124.15313461769647</v>
      </c>
      <c r="AD17" s="14">
        <f>(AC16*Population!$B$12*0.5*Population!$N$30)+(AD16*Population!$B$11*Population!N$31)+Y17*Population!$L$31</f>
        <v>47.380507186751103</v>
      </c>
      <c r="AE17" s="13">
        <f>(AC16*Population!$B$12*0.5*Population!$N$30)+(AE16*Population!$B$11*Population!N$31)+Y17*Population!$L$32</f>
        <v>47.380507186751103</v>
      </c>
      <c r="AF17" s="14">
        <f>(AD16*Population!$B$12*Population!N$31)+(AF16*Population!$B$11*Population!N$33)+Y17*Population!$L$33</f>
        <v>53.088646050316001</v>
      </c>
      <c r="AG17" s="13">
        <f>(AE16*Population!$B$12*Population!N$31)+(AG16*Population!$B$11*Population!N$33)+Y17*Population!$L$34</f>
        <v>49.183413080770016</v>
      </c>
      <c r="AH17" s="14">
        <f>(AF16*Population!$B$12*Population!N$33)+(AH16*Population!$B$11*Population!N$35)+Y17*Population!$L$35</f>
        <v>78.854609433310031</v>
      </c>
      <c r="AI17" s="13">
        <f>(AG16*Population!$B$12*Population!N$33)+(AI16*Population!$B$11*Population!N$35)+Y17*Population!$L$36</f>
        <v>66.992384406516948</v>
      </c>
      <c r="AJ17" s="14">
        <f>(AH16*Population!$B$12*Population!N$35)+(AJ16*Population!$B$11*Population!N$37)+Y17*Population!$L$37</f>
        <v>83.418584963693803</v>
      </c>
      <c r="AK17" s="13">
        <f>(AI16*Population!$B$12*Population!N$35)+(AK16*Population!$B$11*Population!N$37)+Y17*Population!$L$38</f>
        <v>66.24073623866127</v>
      </c>
      <c r="AL17" s="14">
        <f>(AJ16*Population!$B$12*Population!N$37)+(AL16*Population!$B$11*Population!N$39)+Y17*Population!$L$39</f>
        <v>71.51542058491907</v>
      </c>
      <c r="AM17" s="13">
        <f>(AK16*Population!$B$12*Population!N$37)+(AM16*Population!$B$11*Population!N$39)+Y17*Population!$L$40</f>
        <v>55.37772738446175</v>
      </c>
      <c r="AN17" s="14">
        <f>(AL16*Population!$B$12*Population!N$39)+(AN16*Population!$B$11*Population!N$41)+Y17*Population!$L$41</f>
        <v>53.145123836311058</v>
      </c>
      <c r="AO17" s="13">
        <f>(AM16*Population!$B$12*Population!N$39)+(AO16*Population!$B$11*Population!N$41)+Y17*Population!$L$42</f>
        <v>41.430981847188839</v>
      </c>
      <c r="AP17" s="15">
        <f>(AN16+AO16)*Population!$B$12*Population!$N$41+AP16*Population!$B$11*Population!$N$43</f>
        <v>56.401335134323134</v>
      </c>
      <c r="AQ17" s="5">
        <f>AP16*Population!N$43*Population!$B$12+AQ16*Population!$B$11*Population!N$44</f>
        <v>32.05620172797029</v>
      </c>
      <c r="AR17" s="5">
        <f>AQ16*Population!N$44*Population!$B$12+AR16*Population!$B$11*Population!N$45</f>
        <v>15.601147665286209</v>
      </c>
      <c r="AS17" s="5">
        <f>(AR16*Population!$B$12+AS16)*Population!N$46</f>
        <v>15.057395459400393</v>
      </c>
    </row>
    <row r="18" spans="1:45">
      <c r="A18">
        <f>A17+Population!$B$2</f>
        <v>15</v>
      </c>
      <c r="B18" s="4">
        <f t="shared" si="4"/>
        <v>1148</v>
      </c>
      <c r="C18" s="54">
        <f t="shared" si="2"/>
        <v>609</v>
      </c>
      <c r="D18" s="12">
        <f>AE17*Population!$Q$32*Population!$C$2+AG17*Population!$Q$34*Population!$C$2+AI17*Population!$Q$36*Population!$C$2+AK17*Population!$Q$38*Population!$C$2+AM17*Population!$Q$40*Population!$C$2+AO16*Population!$Q$42*Population!$C$2</f>
        <v>19.342959945897753</v>
      </c>
      <c r="E18" s="12">
        <f>IF(B17&gt;Population!$B$6*Population!$B$15,Population!$B$8,IF(Population!$J$6=1,D18,Population!$B$8*Population!$B$6*0.9/B17))</f>
        <v>23.761836638153017</v>
      </c>
      <c r="F18" s="12">
        <f>IF(B17&gt;Population!$B$6*0.75,Population!$B$8,E18)</f>
        <v>23.761836638153017</v>
      </c>
      <c r="G18" s="15">
        <f>IF(Population!$J$6=1,IF(E18&gt;H17,H17,E18),IF(E18&gt;X17,X17,E18))</f>
        <v>23.761836638153017</v>
      </c>
      <c r="H18" s="15">
        <f t="shared" si="5"/>
        <v>287</v>
      </c>
      <c r="I18" s="15">
        <f t="shared" si="6"/>
        <v>384</v>
      </c>
      <c r="J18" s="12">
        <f t="shared" si="3"/>
        <v>1.3379790940766552</v>
      </c>
      <c r="K18" s="12">
        <f>AB18*Population!$P$29+AC18*Population!$P$30+AD18*Population!$P$31+AE18*Population!$P$32+AF18*Population!$P$33+AG18*Population!$P$34+AH18*Population!$P$35+AI18*Population!$P$36+AJ18*Population!$P$37+AK18*Population!$P$38+AL18*Population!$P$39+AM18*Population!$P$40+AN18*Population!$P$41+AO18*Population!$P$42+AP18*Population!$P$43+AQ18*Population!$P$44+AR18*Population!$P$45+AS18*Population!$P$46</f>
        <v>3.7055891284770719</v>
      </c>
      <c r="L18" s="12">
        <f t="shared" si="7"/>
        <v>8.2793855882066267E-2</v>
      </c>
      <c r="M18" s="12">
        <f t="shared" si="8"/>
        <v>9.5547397593653187</v>
      </c>
      <c r="N18" s="12">
        <f t="shared" si="0"/>
        <v>0.33449477351916379</v>
      </c>
      <c r="O18" s="12">
        <f t="shared" si="9"/>
        <v>295.97699523461893</v>
      </c>
      <c r="P18" s="12">
        <f t="shared" si="10"/>
        <v>160</v>
      </c>
      <c r="Q18" s="12">
        <f t="shared" si="11"/>
        <v>74.011502382690537</v>
      </c>
      <c r="R18" s="12">
        <f t="shared" si="12"/>
        <v>15.057395459400393</v>
      </c>
      <c r="S18" s="12">
        <f t="shared" si="13"/>
        <v>1.4296895043650615E-2</v>
      </c>
      <c r="T18" s="12">
        <f t="shared" si="1"/>
        <v>0.81537108844143047</v>
      </c>
      <c r="U18" s="12">
        <f>Population!$B$13*MIN(Z17:AA17)</f>
        <v>13.01038626156847</v>
      </c>
      <c r="V18" s="12">
        <f>X17*Population!$B$14</f>
        <v>1.3631021874679496</v>
      </c>
      <c r="W18" s="12">
        <f>AO17*T17*Population!$B$12</f>
        <v>4.8194796027349396</v>
      </c>
      <c r="X18" s="12">
        <f t="shared" si="17"/>
        <v>234.01150238269054</v>
      </c>
      <c r="Y18" s="12">
        <f>IF(B17&lt;Vehicle!$B$1*0.75,Vehicle!$B$1*0.01,0)</f>
        <v>20</v>
      </c>
      <c r="Z18" s="14">
        <f t="shared" si="15"/>
        <v>112.59398599405057</v>
      </c>
      <c r="AA18" s="13">
        <f t="shared" si="16"/>
        <v>53.580034069073122</v>
      </c>
      <c r="AB18" s="18">
        <f>(G18+Population!$B$11*AB17)*Population!N$29</f>
        <v>154.19295286278904</v>
      </c>
      <c r="AC18" s="18">
        <f>AB17*Population!$B$12*Population!$N$29+AC17*Population!$B$11*Population!$N$30+Y18*Population!$L$30</f>
        <v>129.13315596568685</v>
      </c>
      <c r="AD18" s="14">
        <f>(AC17*Population!$B$12*0.5*Population!$N$30)+(AD17*Population!$B$11*Population!N$31)+Y18*Population!$L$31</f>
        <v>50.43924592308808</v>
      </c>
      <c r="AE18" s="13">
        <f>(AC17*Population!$B$12*0.5*Population!$N$30)+(AE17*Population!$B$11*Population!N$31)+Y18*Population!$L$32</f>
        <v>50.43924592308808</v>
      </c>
      <c r="AF18" s="14">
        <f>(AD17*Population!$B$12*Population!N$31)+(AF17*Population!$B$11*Population!N$33)+Y18*Population!$L$33</f>
        <v>54.223381283883199</v>
      </c>
      <c r="AG18" s="13">
        <f>(AE17*Population!$B$12*Population!N$31)+(AG17*Population!$B$11*Population!N$33)+Y18*Population!$L$34</f>
        <v>50.879228756003769</v>
      </c>
      <c r="AH18" s="14">
        <f>(AF17*Population!$B$12*Population!N$33)+(AH17*Population!$B$11*Population!N$35)+Y18*Population!$L$35</f>
        <v>78.036757724259786</v>
      </c>
      <c r="AI18" s="13">
        <f>(AG17*Population!$B$12*Population!N$33)+(AI17*Population!$B$11*Population!N$35)+Y18*Population!$L$36</f>
        <v>67.33129935126324</v>
      </c>
      <c r="AJ18" s="14">
        <f>(AH17*Population!$B$12*Population!N$35)+(AJ17*Population!$B$11*Population!N$37)+Y18*Population!$L$37</f>
        <v>83.607676609511316</v>
      </c>
      <c r="AK18" s="13">
        <f>(AI17*Population!$B$12*Population!N$35)+(AK17*Population!$B$11*Population!N$37)+Y18*Population!$L$38</f>
        <v>67.220726168422104</v>
      </c>
      <c r="AL18" s="14">
        <f>(AJ17*Population!$B$12*Population!N$37)+(AL17*Population!$B$11*Population!N$39)+Y18*Population!$L$39</f>
        <v>74.07529816356282</v>
      </c>
      <c r="AM18" s="13">
        <f>(AK17*Population!$B$12*Population!N$37)+(AM17*Population!$B$11*Population!N$39)+Y18*Population!$L$40</f>
        <v>57.820280987483507</v>
      </c>
      <c r="AN18" s="14">
        <f>(AL17*Population!$B$12*Population!N$39)+(AN17*Population!$B$11*Population!N$41)+Y18*Population!$L$41</f>
        <v>56.662374595524014</v>
      </c>
      <c r="AO18" s="13">
        <f>(AM17*Population!$B$12*Population!N$39)+(AO17*Population!$B$11*Population!N$41)+Y18*Population!$L$42</f>
        <v>44.340001188591003</v>
      </c>
      <c r="AP18" s="15">
        <f>(AN17+AO17)*Population!$B$12*Population!$N$41+AP17*Population!$B$11*Population!$N$43</f>
        <v>61.478438898311907</v>
      </c>
      <c r="AQ18" s="5">
        <f>AP17*Population!N$43*Population!$B$12+AQ17*Population!$B$11*Population!N$44</f>
        <v>35.276455863893474</v>
      </c>
      <c r="AR18" s="5">
        <f>AQ17*Population!N$44*Population!$B$12+AR17*Population!$B$11*Population!N$45</f>
        <v>17.243094339551174</v>
      </c>
      <c r="AS18" s="5">
        <f>(AR17*Population!$B$12+AS17)*Population!N$46</f>
        <v>16.412835510110906</v>
      </c>
    </row>
    <row r="19" spans="1:45">
      <c r="A19">
        <f>A18+Population!$B$2</f>
        <v>16</v>
      </c>
      <c r="B19" s="4">
        <f t="shared" si="4"/>
        <v>1187</v>
      </c>
      <c r="C19" s="54">
        <f t="shared" si="2"/>
        <v>624</v>
      </c>
      <c r="D19" s="12">
        <f>AE18*Population!$Q$32*Population!$C$2+AG18*Population!$Q$34*Population!$C$2+AI18*Population!$Q$36*Population!$C$2+AK18*Population!$Q$38*Population!$C$2+AM18*Population!$Q$40*Population!$C$2+AO17*Population!$Q$42*Population!$C$2</f>
        <v>19.8015079495432</v>
      </c>
      <c r="E19" s="12">
        <f>IF(B18&gt;Population!$B$6*Population!$B$15,Population!$B$8,IF(Population!$J$6=1,D19,Population!$B$8*Population!$B$6*0.9/B18))</f>
        <v>23.761836638153017</v>
      </c>
      <c r="F19" s="12">
        <f>IF(B18&gt;Population!$B$6*0.75,Population!$B$8,E19)</f>
        <v>23.761836638153017</v>
      </c>
      <c r="G19" s="15">
        <f>IF(Population!$J$6=1,IF(E19&gt;H18,H18,E19),IF(E19&gt;X18,X18,E19))</f>
        <v>23.761836638153017</v>
      </c>
      <c r="H19" s="15">
        <f t="shared" si="5"/>
        <v>295</v>
      </c>
      <c r="I19" s="15">
        <f t="shared" si="6"/>
        <v>396</v>
      </c>
      <c r="J19" s="12">
        <f t="shared" si="3"/>
        <v>1.3423728813559321</v>
      </c>
      <c r="K19" s="12">
        <f>AB19*Population!$P$29+AC19*Population!$P$30+AD19*Population!$P$31+AE19*Population!$P$32+AF19*Population!$P$33+AG19*Population!$P$34+AH19*Population!$P$35+AI19*Population!$P$36+AJ19*Population!$P$37+AK19*Population!$P$38+AL19*Population!$P$39+AM19*Population!$P$40+AN19*Population!$P$41+AO19*Population!$P$42+AP19*Population!$P$43+AQ19*Population!$P$44+AR19*Population!$P$45+AS19*Population!$P$46</f>
        <v>3.9682445174863243</v>
      </c>
      <c r="L19" s="12">
        <f t="shared" si="7"/>
        <v>8.0548598773400065E-2</v>
      </c>
      <c r="M19" s="12">
        <f t="shared" si="8"/>
        <v>9.6552891555110349</v>
      </c>
      <c r="N19" s="12">
        <f t="shared" si="0"/>
        <v>0.33361415332771693</v>
      </c>
      <c r="O19" s="12">
        <f t="shared" si="9"/>
        <v>309.32470338028486</v>
      </c>
      <c r="P19" s="12">
        <f t="shared" si="10"/>
        <v>165</v>
      </c>
      <c r="Q19" s="12">
        <f t="shared" si="11"/>
        <v>75.83764830985757</v>
      </c>
      <c r="R19" s="12">
        <f t="shared" si="12"/>
        <v>16.412835510110906</v>
      </c>
      <c r="S19" s="12">
        <f t="shared" si="13"/>
        <v>1.5098999474605581E-2</v>
      </c>
      <c r="T19" s="12">
        <f t="shared" si="1"/>
        <v>0.81639880783002561</v>
      </c>
      <c r="U19" s="12">
        <f>Population!$B$13*MIN(Z18:AA18)</f>
        <v>13.39500851726828</v>
      </c>
      <c r="V19" s="12">
        <f>X18*Population!$B$14</f>
        <v>1.4040690142961432</v>
      </c>
      <c r="W19" s="12">
        <f>AO18*T18*Population!$B$12</f>
        <v>5.1647935758051089</v>
      </c>
      <c r="X19" s="12">
        <f t="shared" si="17"/>
        <v>240.83764830985757</v>
      </c>
      <c r="Y19" s="12">
        <f>IF(B18&lt;Vehicle!$B$1*0.75,Vehicle!$B$1*0.01,0)</f>
        <v>20</v>
      </c>
      <c r="Z19" s="14">
        <f t="shared" si="15"/>
        <v>112.27444789396213</v>
      </c>
      <c r="AA19" s="13">
        <f t="shared" si="16"/>
        <v>55.127528168327785</v>
      </c>
      <c r="AB19" s="18">
        <f>(G19+Population!$B$11*AB18)*Population!N$29</f>
        <v>155.86391835298659</v>
      </c>
      <c r="AC19" s="18">
        <f>AB18*Population!$B$12*Population!$N$29+AC18*Population!$B$11*Population!$N$30+Y19*Population!$L$30</f>
        <v>133.67927950821345</v>
      </c>
      <c r="AD19" s="14">
        <f>(AC18*Population!$B$12*0.5*Population!$N$30)+(AD18*Population!$B$11*Population!N$31)+Y19*Population!$L$31</f>
        <v>53.414159204733934</v>
      </c>
      <c r="AE19" s="13">
        <f>(AC18*Population!$B$12*0.5*Population!$N$30)+(AE18*Population!$B$11*Population!N$31)+Y19*Population!$L$32</f>
        <v>53.414159204733934</v>
      </c>
      <c r="AF19" s="14">
        <f>(AD18*Population!$B$12*Population!N$31)+(AF18*Population!$B$11*Population!N$33)+Y19*Population!$L$33</f>
        <v>55.631630818691619</v>
      </c>
      <c r="AG19" s="13">
        <f>(AE18*Population!$B$12*Population!N$31)+(AG18*Population!$B$11*Population!N$33)+Y19*Population!$L$34</f>
        <v>52.767946061102741</v>
      </c>
      <c r="AH19" s="14">
        <f>(AF18*Population!$B$12*Population!N$33)+(AH18*Population!$B$11*Population!N$35)+Y19*Population!$L$35</f>
        <v>77.49903847115641</v>
      </c>
      <c r="AI19" s="13">
        <f>(AG18*Population!$B$12*Population!N$33)+(AI18*Population!$B$11*Population!N$35)+Y19*Population!$L$36</f>
        <v>67.863268627150319</v>
      </c>
      <c r="AJ19" s="14">
        <f>(AH18*Population!$B$12*Population!N$35)+(AJ18*Population!$B$11*Population!N$37)+Y19*Population!$L$37</f>
        <v>83.652832338850786</v>
      </c>
      <c r="AK19" s="13">
        <f>(AI18*Population!$B$12*Population!N$35)+(AK18*Population!$B$11*Population!N$37)+Y19*Population!$L$38</f>
        <v>68.1074282145116</v>
      </c>
      <c r="AL19" s="14">
        <f>(AJ18*Population!$B$12*Population!N$37)+(AL18*Population!$B$11*Population!N$39)+Y19*Population!$L$39</f>
        <v>76.292227345279116</v>
      </c>
      <c r="AM19" s="13">
        <f>(AK18*Population!$B$12*Population!N$37)+(AM18*Population!$B$11*Population!N$39)+Y19*Population!$L$40</f>
        <v>60.049608380300569</v>
      </c>
      <c r="AN19" s="14">
        <f>(AL18*Population!$B$12*Population!N$39)+(AN18*Population!$B$11*Population!N$41)+Y19*Population!$L$41</f>
        <v>60.03636722984178</v>
      </c>
      <c r="AO19" s="13">
        <f>(AM18*Population!$B$12*Population!N$39)+(AO18*Population!$B$11*Population!N$41)+Y19*Population!$L$42</f>
        <v>47.176925195120141</v>
      </c>
      <c r="AP19" s="15">
        <f>(AN18+AO18)*Population!$B$12*Population!$N$41+AP18*Population!$B$11*Population!$N$43</f>
        <v>66.714967502914917</v>
      </c>
      <c r="AQ19" s="5">
        <f>AP18*Population!N$43*Population!$B$12+AQ18*Population!$B$11*Population!N$44</f>
        <v>38.736704224225804</v>
      </c>
      <c r="AR19" s="5">
        <f>AQ18*Population!N$44*Population!$B$12+AR18*Population!$B$11*Population!N$45</f>
        <v>19.036077262854647</v>
      </c>
      <c r="AS19" s="5">
        <f>(AR18*Population!$B$12+AS18)*Population!N$46</f>
        <v>17.922512376356824</v>
      </c>
    </row>
    <row r="20" spans="1:45">
      <c r="A20">
        <f>A19+Population!$B$2</f>
        <v>17</v>
      </c>
      <c r="B20" s="4">
        <f t="shared" si="4"/>
        <v>1226</v>
      </c>
      <c r="C20" s="54">
        <f t="shared" si="2"/>
        <v>640</v>
      </c>
      <c r="D20" s="12">
        <f>AE19*Population!$Q$32*Population!$C$2+AG19*Population!$Q$34*Population!$C$2+AI19*Population!$Q$36*Population!$C$2+AK19*Population!$Q$38*Population!$C$2+AM19*Population!$Q$40*Population!$C$2+AO18*Population!$Q$42*Population!$C$2</f>
        <v>20.27726916339795</v>
      </c>
      <c r="E20" s="12">
        <f>IF(B19&gt;Population!$B$6*Population!$B$15,Population!$B$8,IF(Population!$J$6=1,D20,Population!$B$8*Population!$B$6*0.9/B19))</f>
        <v>23.761836638153017</v>
      </c>
      <c r="F20" s="12">
        <f>IF(B19&gt;Population!$B$6*0.75,Population!$B$8,E20)</f>
        <v>23.761836638153017</v>
      </c>
      <c r="G20" s="15">
        <f>IF(Population!$J$6=1,IF(E20&gt;H19,H19,E20),IF(E20&gt;X19,X19,E20))</f>
        <v>23.761836638153017</v>
      </c>
      <c r="H20" s="15">
        <f t="shared" si="5"/>
        <v>304</v>
      </c>
      <c r="I20" s="15">
        <f t="shared" si="6"/>
        <v>407</v>
      </c>
      <c r="J20" s="12">
        <f t="shared" si="3"/>
        <v>1.3388157894736843</v>
      </c>
      <c r="K20" s="12">
        <f>AB20*Population!$P$29+AC20*Population!$P$30+AD20*Population!$P$31+AE20*Population!$P$32+AF20*Population!$P$33+AG20*Population!$P$34+AH20*Population!$P$35+AI20*Population!$P$36+AJ20*Population!$P$37+AK20*Population!$P$38+AL20*Population!$P$39+AM20*Population!$P$40+AN20*Population!$P$41+AO20*Population!$P$42+AP20*Population!$P$43+AQ20*Population!$P$44+AR20*Population!$P$45+AS20*Population!$P$46</f>
        <v>4.2488007123064913</v>
      </c>
      <c r="L20" s="12">
        <f t="shared" si="7"/>
        <v>7.8163936309713869E-2</v>
      </c>
      <c r="M20" s="12">
        <f t="shared" si="8"/>
        <v>9.7727761258590622</v>
      </c>
      <c r="N20" s="12">
        <f t="shared" si="0"/>
        <v>0.33197389885807504</v>
      </c>
      <c r="O20" s="12">
        <f t="shared" si="9"/>
        <v>323.65532978623423</v>
      </c>
      <c r="P20" s="12">
        <f t="shared" si="10"/>
        <v>170</v>
      </c>
      <c r="Q20" s="12">
        <f t="shared" si="11"/>
        <v>77.672335106882883</v>
      </c>
      <c r="R20" s="12">
        <f t="shared" si="12"/>
        <v>17.922512376356824</v>
      </c>
      <c r="S20" s="12">
        <f t="shared" si="13"/>
        <v>1.5986232113406919E-2</v>
      </c>
      <c r="T20" s="12">
        <f t="shared" si="1"/>
        <v>0.81471162864106217</v>
      </c>
      <c r="U20" s="12">
        <f>Population!$B$13*MIN(Z19:AA19)</f>
        <v>13.781882042081946</v>
      </c>
      <c r="V20" s="12">
        <f>X19*Population!$B$14</f>
        <v>1.4450258898591455</v>
      </c>
      <c r="W20" s="12">
        <f>AO19*T19*Population!$B$12</f>
        <v>5.5021693551974824</v>
      </c>
      <c r="X20" s="12">
        <f t="shared" si="17"/>
        <v>247.67233510688288</v>
      </c>
      <c r="Y20" s="12">
        <f>IF(B19&lt;Vehicle!$B$1*0.75,Vehicle!$B$1*0.01,0)</f>
        <v>20</v>
      </c>
      <c r="Z20" s="14">
        <f t="shared" si="15"/>
        <v>111.87874710297734</v>
      </c>
      <c r="AA20" s="13">
        <f t="shared" si="16"/>
        <v>56.672316266629252</v>
      </c>
      <c r="AB20" s="18">
        <f>(G20+Population!$B$11*AB19)*Population!N$29</f>
        <v>157.29559299145103</v>
      </c>
      <c r="AC20" s="18">
        <f>AB19*Population!$B$12*Population!$N$29+AC19*Population!$B$11*Population!$N$30+Y20*Population!$L$30</f>
        <v>137.81369251772571</v>
      </c>
      <c r="AD20" s="14">
        <f>(AC19*Population!$B$12*0.5*Population!$N$30)+(AD19*Population!$B$11*Population!N$31)+Y20*Population!$L$31</f>
        <v>56.286304843033285</v>
      </c>
      <c r="AE20" s="13">
        <f>(AC19*Population!$B$12*0.5*Population!$N$30)+(AE19*Population!$B$11*Population!N$31)+Y20*Population!$L$32</f>
        <v>56.286304843033285</v>
      </c>
      <c r="AF20" s="14">
        <f>(AD19*Population!$B$12*Population!N$31)+(AF19*Population!$B$11*Population!N$33)+Y20*Population!$L$33</f>
        <v>57.262134108305759</v>
      </c>
      <c r="AG20" s="13">
        <f>(AE19*Population!$B$12*Population!N$31)+(AG19*Population!$B$11*Population!N$33)+Y20*Population!$L$34</f>
        <v>54.809886394578697</v>
      </c>
      <c r="AH20" s="14">
        <f>(AF19*Population!$B$12*Population!N$33)+(AH19*Population!$B$11*Population!N$35)+Y20*Population!$L$35</f>
        <v>77.240007968324591</v>
      </c>
      <c r="AI20" s="13">
        <f>(AG19*Population!$B$12*Population!N$33)+(AI19*Population!$B$11*Population!N$35)+Y20*Population!$L$36</f>
        <v>68.587926445260536</v>
      </c>
      <c r="AJ20" s="14">
        <f>(AH19*Population!$B$12*Population!N$35)+(AJ19*Population!$B$11*Population!N$37)+Y20*Population!$L$37</f>
        <v>83.614793388836134</v>
      </c>
      <c r="AK20" s="13">
        <f>(AI19*Population!$B$12*Population!N$35)+(AK19*Population!$B$11*Population!N$37)+Y20*Population!$L$38</f>
        <v>68.941848980774949</v>
      </c>
      <c r="AL20" s="14">
        <f>(AJ19*Population!$B$12*Population!N$37)+(AL19*Population!$B$11*Population!N$39)+Y20*Population!$L$39</f>
        <v>78.195242359059606</v>
      </c>
      <c r="AM20" s="13">
        <f>(AK19*Population!$B$12*Population!N$37)+(AM19*Population!$B$11*Population!N$39)+Y20*Population!$L$40</f>
        <v>62.083220106514588</v>
      </c>
      <c r="AN20" s="14">
        <f>(AL19*Population!$B$12*Population!N$39)+(AN19*Population!$B$11*Population!N$41)+Y20*Population!$L$41</f>
        <v>63.238904385334159</v>
      </c>
      <c r="AO20" s="13">
        <f>(AM19*Population!$B$12*Population!N$39)+(AO19*Population!$B$11*Population!N$41)+Y20*Population!$L$42</f>
        <v>49.921769446383351</v>
      </c>
      <c r="AP20" s="15">
        <f>(AN19+AO19)*Population!$B$12*Population!$N$41+AP19*Population!$B$11*Population!$N$43</f>
        <v>72.056449547802671</v>
      </c>
      <c r="AQ20" s="5">
        <f>AP19*Population!N$43*Population!$B$12+AQ19*Population!$B$11*Population!N$44</f>
        <v>42.423780385731405</v>
      </c>
      <c r="AR20" s="5">
        <f>AQ19*Population!N$44*Population!$B$12+AR19*Population!$B$11*Population!N$45</f>
        <v>20.986015850830224</v>
      </c>
      <c r="AS20" s="5">
        <f>(AR19*Population!$B$12+AS19)*Population!N$46</f>
        <v>19.599120571036881</v>
      </c>
    </row>
    <row r="21" spans="1:45">
      <c r="A21">
        <f>A20+Population!$B$2</f>
        <v>18</v>
      </c>
      <c r="B21" s="4">
        <f t="shared" si="4"/>
        <v>1265</v>
      </c>
      <c r="C21" s="54">
        <f t="shared" si="2"/>
        <v>654</v>
      </c>
      <c r="D21" s="12">
        <f>AE20*Population!$Q$32*Population!$C$2+AG20*Population!$Q$34*Population!$C$2+AI20*Population!$Q$36*Population!$C$2+AK20*Population!$Q$38*Population!$C$2+AM20*Population!$Q$40*Population!$C$2+AO19*Population!$Q$42*Population!$C$2</f>
        <v>20.769870112077854</v>
      </c>
      <c r="E21" s="12">
        <f>IF(B20&gt;Population!$B$6*Population!$B$15,Population!$B$8,IF(Population!$J$6=1,D21,Population!$B$8*Population!$B$6*0.9/B20))</f>
        <v>23.761836638153017</v>
      </c>
      <c r="F21" s="12">
        <f>IF(B20&gt;Population!$B$6*0.75,Population!$B$8,E21)</f>
        <v>23.761836638153017</v>
      </c>
      <c r="G21" s="15">
        <f>IF(Population!$J$6=1,IF(E21&gt;H20,H20,E21),IF(E21&gt;X20,X20,E21))</f>
        <v>23.761836638153017</v>
      </c>
      <c r="H21" s="15">
        <f t="shared" si="5"/>
        <v>312</v>
      </c>
      <c r="I21" s="15">
        <f t="shared" si="6"/>
        <v>418</v>
      </c>
      <c r="J21" s="12">
        <f t="shared" si="3"/>
        <v>1.3397435897435896</v>
      </c>
      <c r="K21" s="12">
        <f>AB21*Population!$P$29+AC21*Population!$P$30+AD21*Population!$P$31+AE21*Population!$P$32+AF21*Population!$P$33+AG21*Population!$P$34+AH21*Population!$P$35+AI21*Population!$P$36+AJ21*Population!$P$37+AK21*Population!$P$38+AL21*Population!$P$39+AM21*Population!$P$40+AN21*Population!$P$41+AO21*Population!$P$42+AP21*Population!$P$43+AQ21*Population!$P$44+AR21*Population!$P$45+AS21*Population!$P$46</f>
        <v>4.5476220174808368</v>
      </c>
      <c r="L21" s="12">
        <f t="shared" si="7"/>
        <v>7.6159732814592998E-2</v>
      </c>
      <c r="M21" s="12">
        <f t="shared" si="8"/>
        <v>9.9069382796414889</v>
      </c>
      <c r="N21" s="12">
        <f t="shared" si="0"/>
        <v>0.33043478260869563</v>
      </c>
      <c r="O21" s="12">
        <f t="shared" si="9"/>
        <v>337.9117671285756</v>
      </c>
      <c r="P21" s="12">
        <f t="shared" si="10"/>
        <v>175</v>
      </c>
      <c r="Q21" s="12">
        <f t="shared" si="11"/>
        <v>79.544116435712198</v>
      </c>
      <c r="R21" s="12">
        <f t="shared" si="12"/>
        <v>19.599120571036881</v>
      </c>
      <c r="S21" s="12">
        <f t="shared" si="13"/>
        <v>1.6960882363474077E-2</v>
      </c>
      <c r="T21" s="12">
        <f t="shared" si="1"/>
        <v>0.81584652703753913</v>
      </c>
      <c r="U21" s="12">
        <f>Population!$B$13*MIN(Z20:AA20)</f>
        <v>14.168079066657313</v>
      </c>
      <c r="V21" s="12">
        <f>X20*Population!$B$14</f>
        <v>1.4860340106412973</v>
      </c>
      <c r="W21" s="12">
        <f>AO20*T20*Population!$B$12</f>
        <v>5.8102637271866557</v>
      </c>
      <c r="X21" s="12">
        <f t="shared" si="17"/>
        <v>254.5441164357122</v>
      </c>
      <c r="Y21" s="12">
        <f>IF(B20&lt;Vehicle!$B$1*0.75,Vehicle!$B$1*0.01,0)</f>
        <v>20</v>
      </c>
      <c r="Z21" s="14">
        <f t="shared" si="15"/>
        <v>111.38845422364548</v>
      </c>
      <c r="AA21" s="13">
        <f t="shared" si="16"/>
        <v>58.184443559516552</v>
      </c>
      <c r="AB21" s="18">
        <f>(G21+Population!$B$11*AB20)*Population!N$29</f>
        <v>158.52224445878923</v>
      </c>
      <c r="AC21" s="18">
        <f>AB20*Population!$B$12*Population!$N$29+AC20*Population!$B$11*Population!$N$30+Y21*Population!$L$30</f>
        <v>141.56111965745026</v>
      </c>
      <c r="AD21" s="14">
        <f>(AC20*Population!$B$12*0.5*Population!$N$30)+(AD20*Population!$B$11*Population!N$31)+Y21*Population!$L$31</f>
        <v>59.04104659793741</v>
      </c>
      <c r="AE21" s="13">
        <f>(AC20*Population!$B$12*0.5*Population!$N$30)+(AE20*Population!$B$11*Population!N$31)+Y21*Population!$L$32</f>
        <v>59.04104659793741</v>
      </c>
      <c r="AF21" s="14">
        <f>(AD20*Population!$B$12*Population!N$31)+(AF20*Population!$B$11*Population!N$33)+Y21*Population!$L$33</f>
        <v>59.068291965931593</v>
      </c>
      <c r="AG21" s="13">
        <f>(AE20*Population!$B$12*Population!N$31)+(AG20*Population!$B$11*Population!N$33)+Y21*Population!$L$34</f>
        <v>56.968368490226553</v>
      </c>
      <c r="AH21" s="14">
        <f>(AF20*Population!$B$12*Population!N$33)+(AH20*Population!$B$11*Population!N$35)+Y21*Population!$L$35</f>
        <v>77.251115173236144</v>
      </c>
      <c r="AI21" s="13">
        <f>(AG20*Population!$B$12*Population!N$33)+(AI20*Population!$B$11*Population!N$35)+Y21*Population!$L$36</f>
        <v>69.499296904536919</v>
      </c>
      <c r="AJ21" s="14">
        <f>(AH20*Population!$B$12*Population!N$35)+(AJ20*Population!$B$11*Population!N$37)+Y21*Population!$L$37</f>
        <v>83.545317866600413</v>
      </c>
      <c r="AK21" s="13">
        <f>(AI20*Population!$B$12*Population!N$35)+(AK20*Population!$B$11*Population!N$37)+Y21*Population!$L$38</f>
        <v>69.759017344410978</v>
      </c>
      <c r="AL21" s="14">
        <f>(AJ20*Population!$B$12*Population!N$37)+(AL20*Population!$B$11*Population!N$39)+Y21*Population!$L$39</f>
        <v>79.81784256398727</v>
      </c>
      <c r="AM21" s="13">
        <f>(AK20*Population!$B$12*Population!N$37)+(AM20*Population!$B$11*Population!N$39)+Y21*Population!$L$40</f>
        <v>63.941943224884618</v>
      </c>
      <c r="AN21" s="14">
        <f>(AL20*Population!$B$12*Population!N$39)+(AN20*Population!$B$11*Population!N$41)+Y21*Population!$L$41</f>
        <v>66.250003089602302</v>
      </c>
      <c r="AO21" s="13">
        <f>(AM20*Population!$B$12*Population!N$39)+(AO20*Population!$B$11*Population!N$41)+Y21*Population!$L$42</f>
        <v>52.559934031169696</v>
      </c>
      <c r="AP21" s="15">
        <f>(AN20+AO20)*Population!$B$12*Population!$N$41+AP20*Population!$B$11*Population!$N$43</f>
        <v>77.44966386706389</v>
      </c>
      <c r="AQ21" s="5">
        <f>AP20*Population!N$43*Population!$B$12+AQ20*Population!$B$11*Population!N$44</f>
        <v>46.318755450884325</v>
      </c>
      <c r="AR21" s="5">
        <f>AQ20*Population!N$44*Population!$B$12+AR20*Population!$B$11*Population!N$45</f>
        <v>23.095860279744649</v>
      </c>
      <c r="AS21" s="5">
        <f>(AR20*Population!$B$12+AS20)*Population!N$46</f>
        <v>21.455516189794707</v>
      </c>
    </row>
    <row r="22" spans="1:45">
      <c r="A22">
        <f>A21+Population!$B$2</f>
        <v>19</v>
      </c>
      <c r="B22" s="4">
        <f t="shared" si="4"/>
        <v>1303</v>
      </c>
      <c r="C22" s="54">
        <f t="shared" si="2"/>
        <v>670</v>
      </c>
      <c r="D22" s="12">
        <f>AE21*Population!$Q$32*Population!$C$2+AG21*Population!$Q$34*Population!$C$2+AI21*Population!$Q$36*Population!$C$2+AK21*Population!$Q$38*Population!$C$2+AM21*Population!$Q$40*Population!$C$2+AO20*Population!$Q$42*Population!$C$2</f>
        <v>21.278488307689372</v>
      </c>
      <c r="E22" s="12">
        <f>IF(B21&gt;Population!$B$6*Population!$B$15,Population!$B$8,IF(Population!$J$6=1,D22,Population!$B$8*Population!$B$6*0.9/B21))</f>
        <v>23.761836638153017</v>
      </c>
      <c r="F22" s="12">
        <f>IF(B21&gt;Population!$B$6*0.75,Population!$B$8,E22)</f>
        <v>23.761836638153017</v>
      </c>
      <c r="G22" s="15">
        <f>IF(Population!$J$6=1,IF(E22&gt;H21,H21,E22),IF(E22&gt;X21,X21,E22))</f>
        <v>23.761836638153017</v>
      </c>
      <c r="H22" s="15">
        <f t="shared" si="5"/>
        <v>321</v>
      </c>
      <c r="I22" s="15">
        <f t="shared" si="6"/>
        <v>427</v>
      </c>
      <c r="J22" s="12">
        <f t="shared" si="3"/>
        <v>1.3302180685358256</v>
      </c>
      <c r="K22" s="12">
        <f>AB22*Population!$P$29+AC22*Population!$P$30+AD22*Population!$P$31+AE22*Population!$P$32+AF22*Population!$P$33+AG22*Population!$P$34+AH22*Population!$P$35+AI22*Population!$P$36+AJ22*Population!$P$37+AK22*Population!$P$38+AL22*Population!$P$39+AM22*Population!$P$40+AN22*Population!$P$41+AO22*Population!$P$42+AP22*Population!$P$43+AQ22*Population!$P$44+AR22*Population!$P$45+AS22*Population!$P$46</f>
        <v>4.8648836945056324</v>
      </c>
      <c r="L22" s="12">
        <f t="shared" si="7"/>
        <v>7.4024413202968903E-2</v>
      </c>
      <c r="M22" s="12">
        <f t="shared" si="8"/>
        <v>10.057117714023084</v>
      </c>
      <c r="N22" s="12">
        <f t="shared" si="0"/>
        <v>0.32770529547198773</v>
      </c>
      <c r="O22" s="12">
        <f t="shared" si="9"/>
        <v>353.12574321480349</v>
      </c>
      <c r="P22" s="12">
        <f t="shared" si="10"/>
        <v>178</v>
      </c>
      <c r="Q22" s="12">
        <f t="shared" si="11"/>
        <v>83.437128392598254</v>
      </c>
      <c r="R22" s="12">
        <f t="shared" si="12"/>
        <v>21.455516189794707</v>
      </c>
      <c r="S22" s="12">
        <f t="shared" si="13"/>
        <v>1.8038607828266186E-2</v>
      </c>
      <c r="T22" s="12">
        <f t="shared" si="1"/>
        <v>0.81444588284298525</v>
      </c>
      <c r="U22" s="12">
        <f>Population!$B$13*MIN(Z21:AA21)</f>
        <v>14.546110889879138</v>
      </c>
      <c r="V22" s="12">
        <f>X21*Population!$B$14</f>
        <v>1.5272646986142733</v>
      </c>
      <c r="W22" s="12">
        <f>AO21*T21*Population!$B$12</f>
        <v>6.1258342343788517</v>
      </c>
      <c r="X22" s="12">
        <f t="shared" si="17"/>
        <v>261.43712839259825</v>
      </c>
      <c r="Y22" s="12">
        <f>IF(B21&lt;Vehicle!$B$1*0.75,Vehicle!$B$1*0.01,0)</f>
        <v>20</v>
      </c>
      <c r="Z22" s="14">
        <f t="shared" si="15"/>
        <v>110.83025325469015</v>
      </c>
      <c r="AA22" s="13">
        <f t="shared" si="16"/>
        <v>59.678332825869688</v>
      </c>
      <c r="AB22" s="18">
        <f>(G22+Population!$B$11*AB21)*Population!N$29</f>
        <v>159.57323312751132</v>
      </c>
      <c r="AC22" s="18">
        <f>AB21*Population!$B$12*Population!$N$29+AC21*Population!$B$11*Population!$N$30+Y22*Population!$L$30</f>
        <v>144.94764212295757</v>
      </c>
      <c r="AD22" s="14">
        <f>(AC21*Population!$B$12*0.5*Population!$N$30)+(AD21*Population!$B$11*Population!N$31)+Y22*Population!$L$31</f>
        <v>61.667616726563026</v>
      </c>
      <c r="AE22" s="13">
        <f>(AC21*Population!$B$12*0.5*Population!$N$30)+(AE21*Population!$B$11*Population!N$31)+Y22*Population!$L$32</f>
        <v>61.667616726563026</v>
      </c>
      <c r="AF22" s="14">
        <f>(AD21*Population!$B$12*Population!N$31)+(AF21*Population!$B$11*Population!N$33)+Y22*Population!$L$33</f>
        <v>61.008111397522569</v>
      </c>
      <c r="AG22" s="13">
        <f>(AE21*Population!$B$12*Population!N$31)+(AG21*Population!$B$11*Population!N$33)+Y22*Population!$L$34</f>
        <v>59.209892327265969</v>
      </c>
      <c r="AH22" s="14">
        <f>(AF21*Population!$B$12*Population!N$33)+(AH21*Population!$B$11*Population!N$35)+Y22*Population!$L$35</f>
        <v>77.518394010901318</v>
      </c>
      <c r="AI22" s="13">
        <f>(AG21*Population!$B$12*Population!N$33)+(AI21*Population!$B$11*Population!N$35)+Y22*Population!$L$36</f>
        <v>70.587032451705227</v>
      </c>
      <c r="AJ22" s="14">
        <f>(AH21*Population!$B$12*Population!N$35)+(AJ21*Population!$B$11*Population!N$37)+Y22*Population!$L$37</f>
        <v>83.487465452840397</v>
      </c>
      <c r="AK22" s="13">
        <f>(AI21*Population!$B$12*Population!N$35)+(AK21*Population!$B$11*Population!N$37)+Y22*Population!$L$38</f>
        <v>70.588048348734063</v>
      </c>
      <c r="AL22" s="14">
        <f>(AJ21*Population!$B$12*Population!N$37)+(AL21*Population!$B$11*Population!N$39)+Y22*Population!$L$39</f>
        <v>81.196066384840435</v>
      </c>
      <c r="AM22" s="13">
        <f>(AK21*Population!$B$12*Population!N$37)+(AM21*Population!$B$11*Population!N$39)+Y22*Population!$L$40</f>
        <v>65.648589742066676</v>
      </c>
      <c r="AN22" s="14">
        <f>(AL21*Population!$B$12*Population!N$39)+(AN21*Population!$B$11*Population!N$41)+Y22*Population!$L$41</f>
        <v>69.057344401183713</v>
      </c>
      <c r="AO22" s="13">
        <f>(AM21*Population!$B$12*Population!N$39)+(AO21*Population!$B$11*Population!N$41)+Y22*Population!$L$42</f>
        <v>55.081898348695994</v>
      </c>
      <c r="AP22" s="15">
        <f>(AN21+AO21)*Population!$B$12*Population!$N$41+AP21*Population!$B$11*Population!$N$43</f>
        <v>82.844392123666609</v>
      </c>
      <c r="AQ22" s="5">
        <f>AP21*Population!N$43*Population!$B$12+AQ21*Population!$B$11*Population!N$44</f>
        <v>50.397974378174311</v>
      </c>
      <c r="AR22" s="5">
        <f>AQ21*Population!N$44*Population!$B$12+AR21*Population!$B$11*Population!N$45</f>
        <v>25.365326997762445</v>
      </c>
      <c r="AS22" s="5">
        <f>(AR21*Population!$B$12+AS21)*Population!N$46</f>
        <v>23.504306000230841</v>
      </c>
    </row>
    <row r="23" spans="1:45">
      <c r="A23">
        <f>A22+Population!$B$2</f>
        <v>20</v>
      </c>
      <c r="B23" s="4">
        <f t="shared" si="4"/>
        <v>1341</v>
      </c>
      <c r="C23" s="54">
        <f t="shared" si="2"/>
        <v>684</v>
      </c>
      <c r="D23" s="12">
        <f>AE22*Population!$Q$32*Population!$C$2+AG22*Population!$Q$34*Population!$C$2+AI22*Population!$Q$36*Population!$C$2+AK22*Population!$Q$38*Population!$C$2+AM22*Population!$Q$40*Population!$C$2+AO21*Population!$Q$42*Population!$C$2</f>
        <v>21.801936225380672</v>
      </c>
      <c r="E23" s="12">
        <f>IF(B22&gt;Population!$B$6*Population!$B$15,Population!$B$8,IF(Population!$J$6=1,D23,Population!$B$8*Population!$B$6*0.9/B22))</f>
        <v>23.761836638153017</v>
      </c>
      <c r="F23" s="12">
        <f>IF(B22&gt;Population!$B$6*0.75,Population!$B$8,E23)</f>
        <v>23.761836638153017</v>
      </c>
      <c r="G23" s="15">
        <f>IF(Population!$J$6=1,IF(E23&gt;H22,H22,E23),IF(E23&gt;X22,X22,E23))</f>
        <v>23.761836638153017</v>
      </c>
      <c r="H23" s="15">
        <f t="shared" si="5"/>
        <v>329</v>
      </c>
      <c r="I23" s="15">
        <f t="shared" si="6"/>
        <v>436</v>
      </c>
      <c r="J23" s="12">
        <f t="shared" si="3"/>
        <v>1.3252279635258359</v>
      </c>
      <c r="K23" s="12">
        <f>AB23*Population!$P$29+AC23*Population!$P$30+AD23*Population!$P$31+AE23*Population!$P$32+AF23*Population!$P$33+AG23*Population!$P$34+AH23*Population!$P$35+AI23*Population!$P$36+AJ23*Population!$P$37+AK23*Population!$P$38+AL23*Population!$P$39+AM23*Population!$P$40+AN23*Population!$P$41+AO23*Population!$P$42+AP23*Population!$P$43+AQ23*Population!$P$44+AR23*Population!$P$45+AS23*Population!$P$46</f>
        <v>5.2005629796790638</v>
      </c>
      <c r="L23" s="12">
        <f t="shared" si="7"/>
        <v>7.2224427471589719E-2</v>
      </c>
      <c r="M23" s="12">
        <f t="shared" si="8"/>
        <v>10.222337850147476</v>
      </c>
      <c r="N23" s="12">
        <f t="shared" si="0"/>
        <v>0.32513049962714391</v>
      </c>
      <c r="O23" s="12">
        <f t="shared" si="9"/>
        <v>368.24131529380031</v>
      </c>
      <c r="P23" s="12">
        <f t="shared" si="10"/>
        <v>182</v>
      </c>
      <c r="Q23" s="12">
        <f t="shared" si="11"/>
        <v>86.379342353099844</v>
      </c>
      <c r="R23" s="12">
        <f t="shared" si="12"/>
        <v>23.504306000230841</v>
      </c>
      <c r="S23" s="12">
        <f t="shared" si="13"/>
        <v>1.9207622233464339E-2</v>
      </c>
      <c r="T23" s="12">
        <f t="shared" si="1"/>
        <v>0.81574268192431565</v>
      </c>
      <c r="U23" s="12">
        <f>Population!$B$13*MIN(Z22:AA22)</f>
        <v>14.919583206467422</v>
      </c>
      <c r="V23" s="12">
        <f>X22*Population!$B$14</f>
        <v>1.5686227703555895</v>
      </c>
      <c r="W23" s="12">
        <f>AO22*T22*Population!$B$12</f>
        <v>6.4087464756101822</v>
      </c>
      <c r="X23" s="12">
        <f t="shared" si="17"/>
        <v>268.37934235309984</v>
      </c>
      <c r="Y23" s="12">
        <f>IF(B22&lt;Vehicle!$B$1*0.75,Vehicle!$B$1*0.01,0)</f>
        <v>20</v>
      </c>
      <c r="Z23" s="14">
        <f t="shared" si="15"/>
        <v>110.18715122055988</v>
      </c>
      <c r="AA23" s="13">
        <f t="shared" si="16"/>
        <v>61.124362629131383</v>
      </c>
      <c r="AB23" s="18">
        <f>(G23+Population!$B$11*AB22)*Population!N$29</f>
        <v>160.47371481378784</v>
      </c>
      <c r="AC23" s="18">
        <f>AB22*Population!$B$12*Population!$N$29+AC22*Population!$B$11*Population!$N$30+Y23*Population!$L$30</f>
        <v>147.99980283082016</v>
      </c>
      <c r="AD23" s="14">
        <f>(AC22*Population!$B$12*0.5*Population!$N$30)+(AD22*Population!$B$11*Population!N$31)+Y23*Population!$L$31</f>
        <v>64.158657054096523</v>
      </c>
      <c r="AE23" s="13">
        <f>(AC22*Population!$B$12*0.5*Population!$N$30)+(AE22*Population!$B$11*Population!N$31)+Y23*Population!$L$32</f>
        <v>64.158657054096523</v>
      </c>
      <c r="AF23" s="14">
        <f>(AD22*Population!$B$12*Population!N$31)+(AF22*Population!$B$11*Population!N$33)+Y23*Population!$L$33</f>
        <v>63.044095927426717</v>
      </c>
      <c r="AG23" s="13">
        <f>(AE22*Population!$B$12*Population!N$31)+(AG22*Population!$B$11*Population!N$33)+Y23*Population!$L$34</f>
        <v>61.50423418387016</v>
      </c>
      <c r="AH23" s="14">
        <f>(AF22*Population!$B$12*Population!N$33)+(AH22*Population!$B$11*Population!N$35)+Y23*Population!$L$35</f>
        <v>78.02390326196614</v>
      </c>
      <c r="AI23" s="13">
        <f>(AG22*Population!$B$12*Population!N$33)+(AI22*Population!$B$11*Population!N$35)+Y23*Population!$L$36</f>
        <v>71.837499628037975</v>
      </c>
      <c r="AJ23" s="14">
        <f>(AH22*Population!$B$12*Population!N$35)+(AJ22*Population!$B$11*Population!N$37)+Y23*Population!$L$37</f>
        <v>83.476082258489441</v>
      </c>
      <c r="AK23" s="13">
        <f>(AI22*Population!$B$12*Population!N$35)+(AK22*Population!$B$11*Population!N$37)+Y23*Population!$L$38</f>
        <v>71.452374446403553</v>
      </c>
      <c r="AL23" s="14">
        <f>(AJ22*Population!$B$12*Population!N$37)+(AL22*Population!$B$11*Population!N$39)+Y23*Population!$L$39</f>
        <v>82.366884163351457</v>
      </c>
      <c r="AM23" s="13">
        <f>(AK22*Population!$B$12*Population!N$37)+(AM22*Population!$B$11*Population!N$39)+Y23*Population!$L$40</f>
        <v>67.226826570639417</v>
      </c>
      <c r="AN23" s="14">
        <f>(AL22*Population!$B$12*Population!N$39)+(AN22*Population!$B$11*Population!N$41)+Y23*Population!$L$41</f>
        <v>71.655527962426021</v>
      </c>
      <c r="AO23" s="13">
        <f>(AM22*Population!$B$12*Population!N$39)+(AO22*Population!$B$11*Population!N$41)+Y23*Population!$L$42</f>
        <v>57.482770153280129</v>
      </c>
      <c r="AP23" s="15">
        <f>(AN22+AO22)*Population!$B$12*Population!$N$41+AP22*Population!$B$11*Population!$N$43</f>
        <v>88.194788155488581</v>
      </c>
      <c r="AQ23" s="5">
        <f>AP22*Population!N$43*Population!$B$12+AQ22*Population!$B$11*Population!N$44</f>
        <v>54.634186380623618</v>
      </c>
      <c r="AR23" s="5">
        <f>AQ22*Population!N$44*Population!$B$12+AR22*Population!$B$11*Population!N$45</f>
        <v>27.790830447277923</v>
      </c>
      <c r="AS23" s="5">
        <f>(AR22*Population!$B$12+AS22)*Population!N$46</f>
        <v>25.757421415075676</v>
      </c>
    </row>
    <row r="24" spans="1:45">
      <c r="A24">
        <f>A23+Population!$B$2</f>
        <v>21</v>
      </c>
      <c r="B24" s="4">
        <f t="shared" si="4"/>
        <v>1378</v>
      </c>
      <c r="C24" s="54">
        <f t="shared" si="2"/>
        <v>698</v>
      </c>
      <c r="D24" s="12">
        <f>AE23*Population!$Q$32*Population!$C$2+AG23*Population!$Q$34*Population!$C$2+AI23*Population!$Q$36*Population!$C$2+AK23*Population!$Q$38*Population!$C$2+AM23*Population!$Q$40*Population!$C$2+AO22*Population!$Q$42*Population!$C$2</f>
        <v>22.338738434041314</v>
      </c>
      <c r="E24" s="12">
        <f>IF(B23&gt;Population!$B$6*Population!$B$15,Population!$B$8,IF(Population!$J$6=1,D24,Population!$B$8*Population!$B$6*0.9/B23))</f>
        <v>23.761836638153017</v>
      </c>
      <c r="F24" s="12">
        <f>IF(B23&gt;Population!$B$6*0.75,Population!$B$8,E24)</f>
        <v>23.761836638153017</v>
      </c>
      <c r="G24" s="15">
        <f>IF(Population!$J$6=1,IF(E24&gt;H23,H23,E24),IF(E24&gt;X23,X23,E24))</f>
        <v>23.761836638153017</v>
      </c>
      <c r="H24" s="15">
        <f t="shared" si="5"/>
        <v>337</v>
      </c>
      <c r="I24" s="15">
        <f t="shared" si="6"/>
        <v>445</v>
      </c>
      <c r="J24" s="12">
        <f t="shared" si="3"/>
        <v>1.3204747774480712</v>
      </c>
      <c r="K24" s="12">
        <f>AB24*Population!$P$29+AC24*Population!$P$30+AD24*Population!$P$31+AE24*Population!$P$32+AF24*Population!$P$33+AG24*Population!$P$34+AH24*Population!$P$35+AI24*Population!$P$36+AJ24*Population!$P$37+AK24*Population!$P$38+AL24*Population!$P$39+AM24*Population!$P$40+AN24*Population!$P$41+AO24*Population!$P$42+AP24*Population!$P$43+AQ24*Population!$P$44+AR24*Population!$P$45+AS24*Population!$P$46</f>
        <v>5.5544371498543308</v>
      </c>
      <c r="L24" s="12">
        <f t="shared" si="7"/>
        <v>7.0509901003421416E-2</v>
      </c>
      <c r="M24" s="12">
        <f t="shared" si="8"/>
        <v>10.401374571292717</v>
      </c>
      <c r="N24" s="12">
        <f t="shared" si="0"/>
        <v>0.32293178519593613</v>
      </c>
      <c r="O24" s="12">
        <f t="shared" si="9"/>
        <v>382.29715725583628</v>
      </c>
      <c r="P24" s="12">
        <f t="shared" si="10"/>
        <v>186</v>
      </c>
      <c r="Q24" s="12">
        <f t="shared" si="11"/>
        <v>89.351421372081859</v>
      </c>
      <c r="R24" s="12">
        <f t="shared" si="12"/>
        <v>25.757421415075676</v>
      </c>
      <c r="S24" s="12">
        <f t="shared" si="13"/>
        <v>2.0483094867238628E-2</v>
      </c>
      <c r="T24" s="12">
        <f t="shared" si="1"/>
        <v>0.81706653226137049</v>
      </c>
      <c r="U24" s="12">
        <f>Population!$B$13*MIN(Z23:AA23)</f>
        <v>15.281090657282846</v>
      </c>
      <c r="V24" s="12">
        <f>X23*Population!$B$14</f>
        <v>1.6102760541185992</v>
      </c>
      <c r="W24" s="12">
        <f>AO23*T23*Population!$B$12</f>
        <v>6.6987355841822476</v>
      </c>
      <c r="X24" s="12">
        <f t="shared" si="17"/>
        <v>275.35142137208186</v>
      </c>
      <c r="Y24" s="12">
        <f>IF(B23&lt;Vehicle!$B$1*0.75,Vehicle!$B$1*0.01,0)</f>
        <v>20</v>
      </c>
      <c r="Z24" s="14">
        <f t="shared" si="15"/>
        <v>109.48912596113342</v>
      </c>
      <c r="AA24" s="13">
        <f t="shared" si="16"/>
        <v>62.539841179516145</v>
      </c>
      <c r="AB24" s="18">
        <f>(G24+Population!$B$11*AB23)*Population!N$29</f>
        <v>161.2452428915409</v>
      </c>
      <c r="AC24" s="18">
        <f>AB23*Population!$B$12*Population!$N$29+AC23*Population!$B$11*Population!$N$30+Y24*Population!$L$30</f>
        <v>150.74393996238183</v>
      </c>
      <c r="AD24" s="14">
        <f>(AC23*Population!$B$12*0.5*Population!$N$30)+(AD23*Population!$B$11*Population!N$31)+Y24*Population!$L$31</f>
        <v>66.509762080162204</v>
      </c>
      <c r="AE24" s="13">
        <f>(AC23*Population!$B$12*0.5*Population!$N$30)+(AE23*Population!$B$11*Population!N$31)+Y24*Population!$L$32</f>
        <v>66.509762080162204</v>
      </c>
      <c r="AF24" s="14">
        <f>(AD23*Population!$B$12*Population!N$31)+(AF23*Population!$B$11*Population!N$33)+Y24*Population!$L$33</f>
        <v>65.14308618256733</v>
      </c>
      <c r="AG24" s="13">
        <f>(AE23*Population!$B$12*Population!N$31)+(AG23*Population!$B$11*Population!N$33)+Y24*Population!$L$34</f>
        <v>63.82446253515451</v>
      </c>
      <c r="AH24" s="14">
        <f>(AF23*Population!$B$12*Population!N$33)+(AH23*Population!$B$11*Population!N$35)+Y24*Population!$L$35</f>
        <v>78.74694273003243</v>
      </c>
      <c r="AI24" s="13">
        <f>(AG23*Population!$B$12*Population!N$33)+(AI23*Population!$B$11*Population!N$35)+Y24*Population!$L$36</f>
        <v>73.234721488743688</v>
      </c>
      <c r="AJ24" s="14">
        <f>(AH23*Population!$B$12*Population!N$35)+(AJ23*Population!$B$11*Population!N$37)+Y24*Population!$L$37</f>
        <v>83.53842092157457</v>
      </c>
      <c r="AK24" s="13">
        <f>(AI23*Population!$B$12*Population!N$35)+(AK23*Population!$B$11*Population!N$37)+Y24*Population!$L$38</f>
        <v>72.370098136221557</v>
      </c>
      <c r="AL24" s="14">
        <f>(AJ23*Population!$B$12*Population!N$37)+(AL23*Population!$B$11*Population!N$39)+Y24*Population!$L$39</f>
        <v>83.366892379300026</v>
      </c>
      <c r="AM24" s="13">
        <f>(AK23*Population!$B$12*Population!N$37)+(AM23*Population!$B$11*Population!N$39)+Y24*Population!$L$40</f>
        <v>68.700241752744176</v>
      </c>
      <c r="AN24" s="14">
        <f>(AL23*Population!$B$12*Population!N$39)+(AN23*Population!$B$11*Population!N$41)+Y24*Population!$L$41</f>
        <v>74.04520511974097</v>
      </c>
      <c r="AO24" s="13">
        <f>(AM23*Population!$B$12*Population!N$39)+(AO23*Population!$B$11*Population!N$41)+Y24*Population!$L$42</f>
        <v>59.761738638734116</v>
      </c>
      <c r="AP24" s="15">
        <f>(AN23+AO23)*Population!$B$12*Population!$N$41+AP23*Population!$B$11*Population!$N$43</f>
        <v>93.460372604498829</v>
      </c>
      <c r="AQ24" s="5">
        <f>AP23*Population!N$43*Population!$B$12+AQ23*Population!$B$11*Population!N$44</f>
        <v>58.997701016792263</v>
      </c>
      <c r="AR24" s="5">
        <f>AQ23*Population!N$44*Population!$B$12+AR23*Population!$B$11*Population!N$45</f>
        <v>30.365587812550395</v>
      </c>
      <c r="AS24" s="5">
        <f>(AR23*Population!$B$12+AS23)*Population!N$46</f>
        <v>28.225704727054829</v>
      </c>
    </row>
    <row r="25" spans="1:45">
      <c r="A25">
        <f>A24+Population!$B$2</f>
        <v>22</v>
      </c>
      <c r="B25" s="4">
        <f t="shared" si="4"/>
        <v>1415</v>
      </c>
      <c r="C25" s="54">
        <f t="shared" si="2"/>
        <v>713</v>
      </c>
      <c r="D25" s="12">
        <f>AE24*Population!$Q$32*Population!$C$2+AG24*Population!$Q$34*Population!$C$2+AI24*Population!$Q$36*Population!$C$2+AK24*Population!$Q$38*Population!$C$2+AM24*Population!$Q$40*Population!$C$2+AO23*Population!$Q$42*Population!$C$2</f>
        <v>22.88720132032719</v>
      </c>
      <c r="E25" s="12">
        <f>IF(B24&gt;Population!$B$6*Population!$B$15,Population!$B$8,IF(Population!$J$6=1,D25,Population!$B$8*Population!$B$6*0.9/B24))</f>
        <v>23.761836638153017</v>
      </c>
      <c r="F25" s="12">
        <f>IF(B24&gt;Population!$B$6*0.75,Population!$B$8,E25)</f>
        <v>23.761836638153017</v>
      </c>
      <c r="G25" s="15">
        <f>IF(Population!$J$6=1,IF(E25&gt;H24,H24,E25),IF(E25&gt;X24,X24,E25))</f>
        <v>23.761836638153017</v>
      </c>
      <c r="H25" s="15">
        <f t="shared" si="5"/>
        <v>346</v>
      </c>
      <c r="I25" s="15">
        <f t="shared" si="6"/>
        <v>452</v>
      </c>
      <c r="J25" s="12">
        <f t="shared" si="3"/>
        <v>1.3063583815028901</v>
      </c>
      <c r="K25" s="12">
        <f>AB25*Population!$P$29+AC25*Population!$P$30+AD25*Population!$P$31+AE25*Population!$P$32+AF25*Population!$P$33+AG25*Population!$P$34+AH25*Population!$P$35+AI25*Population!$P$36+AJ25*Population!$P$37+AK25*Population!$P$38+AL25*Population!$P$39+AM25*Population!$P$40+AN25*Population!$P$41+AO25*Population!$P$42+AP25*Population!$P$43+AQ25*Population!$P$44+AR25*Population!$P$45+AS25*Population!$P$46</f>
        <v>5.9260881820414024</v>
      </c>
      <c r="L25" s="12">
        <f t="shared" si="7"/>
        <v>6.8675828433968258E-2</v>
      </c>
      <c r="M25" s="12">
        <f t="shared" si="8"/>
        <v>10.592820813714013</v>
      </c>
      <c r="N25" s="12">
        <f t="shared" si="0"/>
        <v>0.31943462897526503</v>
      </c>
      <c r="O25" s="12">
        <f t="shared" si="9"/>
        <v>398.28268702296054</v>
      </c>
      <c r="P25" s="12">
        <f t="shared" si="10"/>
        <v>189</v>
      </c>
      <c r="Q25" s="12">
        <f t="shared" si="11"/>
        <v>93.358656488519728</v>
      </c>
      <c r="R25" s="12">
        <f t="shared" si="12"/>
        <v>28.225704727054829</v>
      </c>
      <c r="S25" s="12">
        <f t="shared" si="13"/>
        <v>2.1850551558401664E-2</v>
      </c>
      <c r="T25" s="12">
        <f t="shared" si="1"/>
        <v>0.81606548118069289</v>
      </c>
      <c r="U25" s="12">
        <f>Population!$B$13*MIN(Z24:AA24)</f>
        <v>15.634960294879036</v>
      </c>
      <c r="V25" s="12">
        <f>X24*Population!$B$14</f>
        <v>1.6521085282324912</v>
      </c>
      <c r="W25" s="12">
        <f>AO24*T24*Population!$B$12</f>
        <v>6.9756166502086909</v>
      </c>
      <c r="X25" s="12">
        <f t="shared" si="17"/>
        <v>282.35865648851973</v>
      </c>
      <c r="Y25" s="12">
        <f>IF(B24&lt;Vehicle!$B$1*0.75,Vehicle!$B$1*0.01,0)</f>
        <v>20</v>
      </c>
      <c r="Z25" s="14">
        <f t="shared" si="15"/>
        <v>108.74075320829559</v>
      </c>
      <c r="AA25" s="13">
        <f t="shared" si="16"/>
        <v>63.916913405158198</v>
      </c>
      <c r="AB25" s="18">
        <f>(G25+Population!$B$11*AB24)*Population!N$29</f>
        <v>161.90628418070102</v>
      </c>
      <c r="AC25" s="18">
        <f>AB24*Population!$B$12*Population!$N$29+AC24*Population!$B$11*Population!$N$30+Y25*Population!$L$30</f>
        <v>153.20570182546695</v>
      </c>
      <c r="AD25" s="14">
        <f>(AC24*Population!$B$12*0.5*Population!$N$30)+(AD24*Population!$B$11*Population!N$31)+Y25*Population!$L$31</f>
        <v>68.719040135620574</v>
      </c>
      <c r="AE25" s="13">
        <f>(AC24*Population!$B$12*0.5*Population!$N$30)+(AE24*Population!$B$11*Population!N$31)+Y25*Population!$L$32</f>
        <v>68.719040135620574</v>
      </c>
      <c r="AF25" s="14">
        <f>(AD24*Population!$B$12*Population!N$31)+(AF24*Population!$B$11*Population!N$33)+Y25*Population!$L$33</f>
        <v>67.276058172215997</v>
      </c>
      <c r="AG25" s="13">
        <f>(AE24*Population!$B$12*Population!N$31)+(AG24*Population!$B$11*Population!N$33)+Y25*Population!$L$34</f>
        <v>66.146886458721553</v>
      </c>
      <c r="AH25" s="14">
        <f>(AF24*Population!$B$12*Population!N$33)+(AH24*Population!$B$11*Population!N$35)+Y25*Population!$L$35</f>
        <v>79.665070917339989</v>
      </c>
      <c r="AI25" s="13">
        <f>(AG24*Population!$B$12*Population!N$33)+(AI24*Population!$B$11*Population!N$35)+Y25*Population!$L$36</f>
        <v>74.761186109038618</v>
      </c>
      <c r="AJ25" s="14">
        <f>(AH24*Population!$B$12*Population!N$35)+(AJ24*Population!$B$11*Population!N$37)+Y25*Population!$L$37</f>
        <v>83.694844502917377</v>
      </c>
      <c r="AK25" s="13">
        <f>(AI24*Population!$B$12*Population!N$35)+(AK24*Population!$B$11*Population!N$37)+Y25*Population!$L$38</f>
        <v>73.354428015755062</v>
      </c>
      <c r="AL25" s="14">
        <f>(AJ24*Population!$B$12*Population!N$37)+(AL24*Population!$B$11*Population!N$39)+Y25*Population!$L$39</f>
        <v>84.23128497557083</v>
      </c>
      <c r="AM25" s="13">
        <f>(AK24*Population!$B$12*Population!N$37)+(AM24*Population!$B$11*Population!N$39)+Y25*Population!$L$40</f>
        <v>70.09159589703907</v>
      </c>
      <c r="AN25" s="14">
        <f>(AL24*Population!$B$12*Population!N$39)+(AN24*Population!$B$11*Population!N$41)+Y25*Population!$L$41</f>
        <v>76.232151128771164</v>
      </c>
      <c r="AO25" s="13">
        <f>(AM24*Population!$B$12*Population!N$39)+(AO24*Population!$B$11*Population!N$41)+Y25*Population!$L$42</f>
        <v>61.921473413123636</v>
      </c>
      <c r="AP25" s="15">
        <f>(AN24+AO24)*Population!$B$12*Population!$N$41+AP24*Population!$B$11*Population!$N$43</f>
        <v>98.606677692165164</v>
      </c>
      <c r="AQ25" s="5">
        <f>AP24*Population!N$43*Population!$B$12+AQ24*Population!$B$11*Population!N$44</f>
        <v>63.457513001377052</v>
      </c>
      <c r="AR25" s="5">
        <f>AQ24*Population!N$44*Population!$B$12+AR24*Population!$B$11*Population!N$45</f>
        <v>33.079868225997515</v>
      </c>
      <c r="AS25" s="5">
        <f>(AR24*Population!$B$12+AS24)*Population!N$46</f>
        <v>30.918530455138356</v>
      </c>
    </row>
    <row r="26" spans="1:45">
      <c r="A26">
        <f>A25+Population!$B$2</f>
        <v>23</v>
      </c>
      <c r="B26" s="4">
        <f t="shared" si="4"/>
        <v>1452</v>
      </c>
      <c r="C26" s="54">
        <f t="shared" si="2"/>
        <v>727</v>
      </c>
      <c r="D26" s="12">
        <f>AE25*Population!$Q$32*Population!$C$2+AG25*Population!$Q$34*Population!$C$2+AI25*Population!$Q$36*Population!$C$2+AK25*Population!$Q$38*Population!$C$2+AM25*Population!$Q$40*Population!$C$2+AO24*Population!$Q$42*Population!$C$2</f>
        <v>23.445475234514213</v>
      </c>
      <c r="E26" s="12">
        <f>IF(B25&gt;Population!$B$6*Population!$B$15,Population!$B$8,IF(Population!$J$6=1,D26,Population!$B$8*Population!$B$6*0.9/B25))</f>
        <v>23.761836638153017</v>
      </c>
      <c r="F26" s="12">
        <f>IF(B25&gt;Population!$B$6*0.75,Population!$B$8,E26)</f>
        <v>23.761836638153017</v>
      </c>
      <c r="G26" s="15">
        <f>IF(Population!$J$6=1,IF(E26&gt;H25,H25,E26),IF(E26&gt;X25,X25,E26))</f>
        <v>23.761836638153017</v>
      </c>
      <c r="H26" s="15">
        <f t="shared" si="5"/>
        <v>354</v>
      </c>
      <c r="I26" s="15">
        <f t="shared" si="6"/>
        <v>459</v>
      </c>
      <c r="J26" s="12">
        <f t="shared" si="3"/>
        <v>1.2966101694915255</v>
      </c>
      <c r="K26" s="12">
        <f>AB26*Population!$P$29+AC26*Population!$P$30+AD26*Population!$P$31+AE26*Population!$P$32+AF26*Population!$P$33+AG26*Population!$P$34+AH26*Population!$P$35+AI26*Population!$P$36+AJ26*Population!$P$37+AK26*Population!$P$38+AL26*Population!$P$39+AM26*Population!$P$40+AN26*Population!$P$41+AO26*Population!$P$42+AP26*Population!$P$43+AQ26*Population!$P$44+AR26*Population!$P$45+AS26*Population!$P$46</f>
        <v>6.3149132945377051</v>
      </c>
      <c r="L26" s="12">
        <f t="shared" si="7"/>
        <v>6.7123832311166712E-2</v>
      </c>
      <c r="M26" s="12">
        <f t="shared" si="8"/>
        <v>10.795144175226218</v>
      </c>
      <c r="N26" s="12">
        <f t="shared" si="0"/>
        <v>0.31611570247933884</v>
      </c>
      <c r="O26" s="12">
        <f t="shared" si="9"/>
        <v>414.15024191147177</v>
      </c>
      <c r="P26" s="12">
        <f t="shared" si="10"/>
        <v>192</v>
      </c>
      <c r="Q26" s="12">
        <f t="shared" si="11"/>
        <v>97.424879044264117</v>
      </c>
      <c r="R26" s="12">
        <f t="shared" si="12"/>
        <v>30.918530455138356</v>
      </c>
      <c r="S26" s="12">
        <f t="shared" si="13"/>
        <v>2.3308181558346464E-2</v>
      </c>
      <c r="T26" s="12">
        <f t="shared" si="1"/>
        <v>0.81758440407984212</v>
      </c>
      <c r="U26" s="12">
        <f>Population!$B$13*MIN(Z25:AA25)</f>
        <v>15.979228351289549</v>
      </c>
      <c r="V26" s="12">
        <f>X25*Population!$B$14</f>
        <v>1.6941519389311184</v>
      </c>
      <c r="W26" s="12">
        <f>AO25*T25*Population!$B$12</f>
        <v>7.2188538566140306</v>
      </c>
      <c r="X26" s="12">
        <f t="shared" si="17"/>
        <v>289.42487904426412</v>
      </c>
      <c r="Y26" s="12">
        <f>IF(B25&lt;Vehicle!$B$1*0.75,Vehicle!$B$1*0.01,0)</f>
        <v>20</v>
      </c>
      <c r="Z26" s="14">
        <f t="shared" si="15"/>
        <v>107.92692794729555</v>
      </c>
      <c r="AA26" s="13">
        <f t="shared" si="16"/>
        <v>65.228515323880799</v>
      </c>
      <c r="AB26" s="18">
        <f>(G26+Population!$B$11*AB25)*Population!N$29</f>
        <v>162.4726609576125</v>
      </c>
      <c r="AC26" s="18">
        <f>AB25*Population!$B$12*Population!$N$29+AC25*Population!$B$11*Population!$N$30+Y26*Population!$L$30</f>
        <v>155.40970478352301</v>
      </c>
      <c r="AD26" s="14">
        <f>(AC25*Population!$B$12*0.5*Population!$N$30)+(AD25*Population!$B$11*Population!N$31)+Y26*Population!$L$31</f>
        <v>70.786702944786583</v>
      </c>
      <c r="AE26" s="13">
        <f>(AC25*Population!$B$12*0.5*Population!$N$30)+(AE25*Population!$B$11*Population!N$31)+Y26*Population!$L$32</f>
        <v>70.786702944786583</v>
      </c>
      <c r="AF26" s="14">
        <f>(AD25*Population!$B$12*Population!N$31)+(AF25*Population!$B$11*Population!N$33)+Y26*Population!$L$33</f>
        <v>69.417887917576948</v>
      </c>
      <c r="AG26" s="13">
        <f>(AE25*Population!$B$12*Population!N$31)+(AG25*Population!$B$11*Population!N$33)+Y26*Population!$L$34</f>
        <v>68.450948820847103</v>
      </c>
      <c r="AH26" s="14">
        <f>(AF25*Population!$B$12*Population!N$33)+(AH25*Population!$B$11*Population!N$35)+Y26*Population!$L$35</f>
        <v>80.754946853692871</v>
      </c>
      <c r="AI26" s="13">
        <f>(AG25*Population!$B$12*Population!N$33)+(AI25*Population!$B$11*Population!N$35)+Y26*Population!$L$36</f>
        <v>76.398530895168847</v>
      </c>
      <c r="AJ26" s="14">
        <f>(AH25*Population!$B$12*Population!N$35)+(AJ25*Population!$B$11*Population!N$37)+Y26*Population!$L$37</f>
        <v>83.959573770001342</v>
      </c>
      <c r="AK26" s="13">
        <f>(AI25*Population!$B$12*Population!N$35)+(AK25*Population!$B$11*Population!N$37)+Y26*Population!$L$38</f>
        <v>74.414167102214023</v>
      </c>
      <c r="AL26" s="14">
        <f>(AJ25*Population!$B$12*Population!N$37)+(AL25*Population!$B$11*Population!N$39)+Y26*Population!$L$39</f>
        <v>84.993073693139735</v>
      </c>
      <c r="AM26" s="13">
        <f>(AK25*Population!$B$12*Population!N$37)+(AM25*Population!$B$11*Population!N$39)+Y26*Population!$L$40</f>
        <v>71.422243958780768</v>
      </c>
      <c r="AN26" s="14">
        <f>(AL25*Population!$B$12*Population!N$39)+(AN25*Population!$B$11*Population!N$41)+Y26*Population!$L$41</f>
        <v>78.22632475714876</v>
      </c>
      <c r="AO26" s="13">
        <f>(AM25*Population!$B$12*Population!N$39)+(AO25*Population!$B$11*Population!N$41)+Y26*Population!$L$42</f>
        <v>63.967503591134196</v>
      </c>
      <c r="AP26" s="15">
        <f>(AN25+AO25)*Population!$B$12*Population!$N$41+AP25*Population!$B$11*Population!$N$43</f>
        <v>103.60557789373661</v>
      </c>
      <c r="AQ26" s="5">
        <f>AP25*Population!N$43*Population!$B$12+AQ25*Population!$B$11*Population!N$44</f>
        <v>67.982350781657061</v>
      </c>
      <c r="AR26" s="5">
        <f>AQ25*Population!N$44*Population!$B$12+AR25*Population!$B$11*Population!N$45</f>
        <v>35.921355104491113</v>
      </c>
      <c r="AS26" s="5">
        <f>(AR25*Population!$B$12+AS25)*Population!N$46</f>
        <v>33.843479622719066</v>
      </c>
    </row>
    <row r="27" spans="1:45">
      <c r="A27">
        <f>A26+Population!$B$2</f>
        <v>24</v>
      </c>
      <c r="B27" s="4">
        <f t="shared" si="4"/>
        <v>1489</v>
      </c>
      <c r="C27" s="54">
        <f t="shared" si="2"/>
        <v>743</v>
      </c>
      <c r="D27" s="12">
        <f>AE26*Population!$Q$32*Population!$C$2+AG26*Population!$Q$34*Population!$C$2+AI26*Population!$Q$36*Population!$C$2+AK26*Population!$Q$38*Population!$C$2+AM26*Population!$Q$40*Population!$C$2+AO25*Population!$Q$42*Population!$C$2</f>
        <v>24.011609159126905</v>
      </c>
      <c r="E27" s="12">
        <f>IF(B26&gt;Population!$B$6*Population!$B$15,Population!$B$8,IF(Population!$J$6=1,D27,Population!$B$8*Population!$B$6*0.9/B26))</f>
        <v>23.761836638153017</v>
      </c>
      <c r="F27" s="12">
        <f>IF(B26&gt;Population!$B$6*0.75,Population!$B$8,E27)</f>
        <v>23.761836638153017</v>
      </c>
      <c r="G27" s="15">
        <f>IF(Population!$J$6=1,IF(E27&gt;H26,H26,E27),IF(E27&gt;X26,X26,E27))</f>
        <v>23.761836638153017</v>
      </c>
      <c r="H27" s="15">
        <f t="shared" si="5"/>
        <v>363</v>
      </c>
      <c r="I27" s="15">
        <f t="shared" si="6"/>
        <v>465</v>
      </c>
      <c r="J27" s="12">
        <f t="shared" si="3"/>
        <v>1.28099173553719</v>
      </c>
      <c r="K27" s="12">
        <f>AB27*Population!$P$29+AC27*Population!$P$30+AD27*Population!$P$31+AE27*Population!$P$32+AF27*Population!$P$33+AG27*Population!$P$34+AH27*Population!$P$35+AI27*Population!$P$36+AJ27*Population!$P$37+AK27*Population!$P$38+AL27*Population!$P$39+AM27*Population!$P$40+AN27*Population!$P$41+AO27*Population!$P$42+AP27*Population!$P$43+AQ27*Population!$P$44+AR27*Population!$P$45+AS27*Population!$P$46</f>
        <v>6.7201404776444349</v>
      </c>
      <c r="L27" s="12">
        <f t="shared" si="7"/>
        <v>6.5459605063782414E-2</v>
      </c>
      <c r="M27" s="12">
        <f t="shared" si="8"/>
        <v>11.006737421198565</v>
      </c>
      <c r="N27" s="12">
        <f t="shared" si="0"/>
        <v>0.31229012760241776</v>
      </c>
      <c r="O27" s="12">
        <f t="shared" si="9"/>
        <v>430.95160659921476</v>
      </c>
      <c r="P27" s="12">
        <f t="shared" si="10"/>
        <v>194</v>
      </c>
      <c r="Q27" s="12">
        <f t="shared" si="11"/>
        <v>102.52419670039262</v>
      </c>
      <c r="R27" s="12">
        <f t="shared" si="12"/>
        <v>33.843479622719066</v>
      </c>
      <c r="S27" s="12">
        <f t="shared" si="13"/>
        <v>2.4852974908362975E-2</v>
      </c>
      <c r="T27" s="12">
        <f t="shared" si="1"/>
        <v>0.81687106529033782</v>
      </c>
      <c r="U27" s="12">
        <f>Population!$B$13*MIN(Z26:AA26)</f>
        <v>16.3071288309702</v>
      </c>
      <c r="V27" s="12">
        <f>X26*Population!$B$14</f>
        <v>1.7365492742655848</v>
      </c>
      <c r="W27" s="12">
        <f>AO26*T26*Population!$B$12</f>
        <v>7.4712619005760867</v>
      </c>
      <c r="X27" s="12">
        <f t="shared" si="17"/>
        <v>296.52419670039262</v>
      </c>
      <c r="Y27" s="12">
        <f>IF(B26&lt;Vehicle!$B$1*0.75,Vehicle!$B$1*0.01,0)</f>
        <v>20</v>
      </c>
      <c r="Z27" s="14">
        <f t="shared" si="15"/>
        <v>107.08083806268314</v>
      </c>
      <c r="AA27" s="13">
        <f t="shared" si="16"/>
        <v>66.496534822738283</v>
      </c>
      <c r="AB27" s="18">
        <f>(G27+Population!$B$11*AB26)*Population!N$29</f>
        <v>162.95792966727541</v>
      </c>
      <c r="AC27" s="18">
        <f>AB26*Population!$B$12*Population!$N$29+AC26*Population!$B$11*Population!$N$30+Y27*Population!$L$30</f>
        <v>157.37930323670628</v>
      </c>
      <c r="AD27" s="14">
        <f>(AC26*Population!$B$12*0.5*Population!$N$30)+(AD26*Population!$B$11*Population!N$31)+Y27*Population!$L$31</f>
        <v>72.714689728750656</v>
      </c>
      <c r="AE27" s="13">
        <f>(AC26*Population!$B$12*0.5*Population!$N$30)+(AE26*Population!$B$11*Population!N$31)+Y27*Population!$L$32</f>
        <v>72.714689728750656</v>
      </c>
      <c r="AF27" s="14">
        <f>(AD26*Population!$B$12*Population!N$31)+(AF26*Population!$B$11*Population!N$33)+Y27*Population!$L$33</f>
        <v>71.547091319889901</v>
      </c>
      <c r="AG27" s="13">
        <f>(AE26*Population!$B$12*Population!N$31)+(AG26*Population!$B$11*Population!N$33)+Y27*Population!$L$34</f>
        <v>70.719076230943614</v>
      </c>
      <c r="AH27" s="14">
        <f>(AF26*Population!$B$12*Population!N$33)+(AH26*Population!$B$11*Population!N$35)+Y27*Population!$L$35</f>
        <v>81.993016686399173</v>
      </c>
      <c r="AI27" s="13">
        <f>(AG26*Population!$B$12*Population!N$33)+(AI26*Population!$B$11*Population!N$35)+Y27*Population!$L$36</f>
        <v>78.128112765960225</v>
      </c>
      <c r="AJ27" s="14">
        <f>(AH26*Population!$B$12*Population!N$35)+(AJ26*Population!$B$11*Population!N$37)+Y27*Population!$L$37</f>
        <v>84.341446526558769</v>
      </c>
      <c r="AK27" s="13">
        <f>(AI26*Population!$B$12*Population!N$35)+(AK26*Population!$B$11*Population!N$37)+Y27*Population!$L$38</f>
        <v>75.55422816058811</v>
      </c>
      <c r="AL27" s="14">
        <f>(AJ26*Population!$B$12*Population!N$37)+(AL26*Population!$B$11*Population!N$39)+Y27*Population!$L$39</f>
        <v>85.6825276197509</v>
      </c>
      <c r="AM27" s="13">
        <f>(AK26*Population!$B$12*Population!N$37)+(AM26*Population!$B$11*Population!N$39)+Y27*Population!$L$40</f>
        <v>72.711710200522461</v>
      </c>
      <c r="AN27" s="14">
        <f>(AL26*Population!$B$12*Population!N$39)+(AN26*Population!$B$11*Population!N$41)+Y27*Population!$L$41</f>
        <v>80.040952610477007</v>
      </c>
      <c r="AO27" s="13">
        <f>(AM26*Population!$B$12*Population!N$39)+(AO26*Population!$B$11*Population!N$41)+Y27*Population!$L$42</f>
        <v>65.907604165116467</v>
      </c>
      <c r="AP27" s="15">
        <f>(AN26+AO26)*Population!$B$12*Population!$N$41+AP26*Population!$B$11*Population!$N$43</f>
        <v>108.43534870312806</v>
      </c>
      <c r="AQ27" s="5">
        <f>AP26*Population!N$43*Population!$B$12+AQ26*Population!$B$11*Population!N$44</f>
        <v>72.541615697849622</v>
      </c>
      <c r="AR27" s="5">
        <f>AQ26*Population!N$44*Population!$B$12+AR26*Population!$B$11*Population!N$45</f>
        <v>38.875589743737628</v>
      </c>
      <c r="AS27" s="5">
        <f>(AR26*Population!$B$12+AS26)*Population!N$46</f>
        <v>37.006079638552471</v>
      </c>
    </row>
    <row r="28" spans="1:45">
      <c r="A28">
        <f>A27+Population!$B$2</f>
        <v>25</v>
      </c>
      <c r="B28" s="4">
        <f t="shared" si="4"/>
        <v>1525</v>
      </c>
      <c r="C28" s="54">
        <f t="shared" si="2"/>
        <v>757</v>
      </c>
      <c r="D28" s="12">
        <f>AE27*Population!$Q$32*Population!$C$2+AG27*Population!$Q$34*Population!$C$2+AI27*Population!$Q$36*Population!$C$2+AK27*Population!$Q$38*Population!$C$2+AM27*Population!$Q$40*Population!$C$2+AO26*Population!$Q$42*Population!$C$2</f>
        <v>24.583598186562345</v>
      </c>
      <c r="E28" s="12">
        <f>IF(B27&gt;Population!$B$6*Population!$B$15,Population!$B$8,IF(Population!$J$6=1,D28,Population!$B$8*Population!$B$6*0.9/B27))</f>
        <v>23.761836638153017</v>
      </c>
      <c r="F28" s="12">
        <f>IF(B27&gt;Population!$B$6*0.75,Population!$B$8,E28)</f>
        <v>23.761836638153017</v>
      </c>
      <c r="G28" s="15">
        <f>IF(Population!$J$6=1,IF(E28&gt;H27,H27,E28),IF(E28&gt;X27,X27,E28))</f>
        <v>23.761836638153017</v>
      </c>
      <c r="H28" s="15">
        <f t="shared" si="5"/>
        <v>371</v>
      </c>
      <c r="I28" s="15">
        <f t="shared" si="6"/>
        <v>471</v>
      </c>
      <c r="J28" s="12">
        <f t="shared" si="3"/>
        <v>1.2695417789757413</v>
      </c>
      <c r="K28" s="12">
        <f>AB28*Population!$P$29+AC28*Population!$P$30+AD28*Population!$P$31+AE28*Population!$P$32+AF28*Population!$P$33+AG28*Population!$P$34+AH28*Population!$P$35+AI28*Population!$P$36+AJ28*Population!$P$37+AK28*Population!$P$38+AL28*Population!$P$39+AM28*Population!$P$40+AN28*Population!$P$41+AO28*Population!$P$42+AP28*Population!$P$43+AQ28*Population!$P$44+AR28*Population!$P$45+AS28*Population!$P$46</f>
        <v>7.140848015324524</v>
      </c>
      <c r="L28" s="12">
        <f t="shared" si="7"/>
        <v>6.4048077191787109E-2</v>
      </c>
      <c r="M28" s="12">
        <f t="shared" si="8"/>
        <v>11.225962002204568</v>
      </c>
      <c r="N28" s="12">
        <f t="shared" si="0"/>
        <v>0.30885245901639347</v>
      </c>
      <c r="O28" s="12">
        <f t="shared" si="9"/>
        <v>446.64391949827677</v>
      </c>
      <c r="P28" s="12">
        <f t="shared" si="10"/>
        <v>197</v>
      </c>
      <c r="Q28" s="12">
        <f t="shared" si="11"/>
        <v>106.67804025086161</v>
      </c>
      <c r="R28" s="12">
        <f t="shared" si="12"/>
        <v>37.006079638552471</v>
      </c>
      <c r="S28" s="12">
        <f t="shared" si="13"/>
        <v>2.6498109828231718E-2</v>
      </c>
      <c r="T28" s="12">
        <f t="shared" si="1"/>
        <v>0.81853919205083991</v>
      </c>
      <c r="U28" s="12">
        <f>Population!$B$13*MIN(Z27:AA27)</f>
        <v>16.624133705684571</v>
      </c>
      <c r="V28" s="12">
        <f>X27*Population!$B$14</f>
        <v>1.7791451802023557</v>
      </c>
      <c r="W28" s="12">
        <f>AO27*T27*Population!$B$12</f>
        <v>7.691144975013227</v>
      </c>
      <c r="X28" s="12">
        <f t="shared" si="17"/>
        <v>303.67804025086161</v>
      </c>
      <c r="Y28" s="12">
        <f>IF(B27&lt;Vehicle!$B$1*0.75,Vehicle!$B$1*0.01,0)</f>
        <v>20</v>
      </c>
      <c r="Z28" s="14">
        <f t="shared" si="15"/>
        <v>106.18670440391452</v>
      </c>
      <c r="AA28" s="13">
        <f t="shared" si="16"/>
        <v>67.694695537934422</v>
      </c>
      <c r="AB28" s="18">
        <f>(G28+Population!$B$11*AB27)*Population!N$29</f>
        <v>163.37370540204697</v>
      </c>
      <c r="AC28" s="18">
        <f>AB27*Population!$B$12*Population!$N$29+AC27*Population!$B$11*Population!$N$30+Y28*Population!$L$30</f>
        <v>159.13644658695696</v>
      </c>
      <c r="AD28" s="14">
        <f>(AC27*Population!$B$12*0.5*Population!$N$30)+(AD27*Population!$B$11*Population!N$31)+Y28*Population!$L$31</f>
        <v>74.506328889053421</v>
      </c>
      <c r="AE28" s="13">
        <f>(AC27*Population!$B$12*0.5*Population!$N$30)+(AE27*Population!$B$11*Population!N$31)+Y28*Population!$L$32</f>
        <v>74.506328889053421</v>
      </c>
      <c r="AF28" s="14">
        <f>(AD27*Population!$B$12*Population!N$31)+(AF27*Population!$B$11*Population!N$33)+Y28*Population!$L$33</f>
        <v>73.645547754373069</v>
      </c>
      <c r="AG28" s="13">
        <f>(AE27*Population!$B$12*Population!N$31)+(AG27*Population!$B$11*Population!N$33)+Y28*Population!$L$34</f>
        <v>72.936496905316048</v>
      </c>
      <c r="AH28" s="14">
        <f>(AF27*Population!$B$12*Population!N$33)+(AH27*Population!$B$11*Population!N$35)+Y28*Population!$L$35</f>
        <v>83.356063929718545</v>
      </c>
      <c r="AI28" s="13">
        <f>(AG27*Population!$B$12*Population!N$33)+(AI27*Population!$B$11*Population!N$35)+Y28*Population!$L$36</f>
        <v>79.93147452685615</v>
      </c>
      <c r="AJ28" s="14">
        <f>(AH27*Population!$B$12*Population!N$35)+(AJ27*Population!$B$11*Population!N$37)+Y28*Population!$L$37</f>
        <v>84.844665112818276</v>
      </c>
      <c r="AK28" s="13">
        <f>(AI27*Population!$B$12*Population!N$35)+(AK27*Population!$B$11*Population!N$37)+Y28*Population!$L$38</f>
        <v>76.776155863509757</v>
      </c>
      <c r="AL28" s="14">
        <f>(AJ27*Population!$B$12*Population!N$37)+(AL27*Population!$B$11*Population!N$39)+Y28*Population!$L$39</f>
        <v>86.326801992793378</v>
      </c>
      <c r="AM28" s="13">
        <f>(AK27*Population!$B$12*Population!N$37)+(AM27*Population!$B$11*Population!N$39)+Y28*Population!$L$40</f>
        <v>73.977398049163497</v>
      </c>
      <c r="AN28" s="14">
        <f>(AL27*Population!$B$12*Population!N$39)+(AN27*Population!$B$11*Population!N$41)+Y28*Population!$L$41</f>
        <v>81.691665865072906</v>
      </c>
      <c r="AO28" s="13">
        <f>(AM27*Population!$B$12*Population!N$39)+(AO27*Population!$B$11*Population!N$41)+Y28*Population!$L$42</f>
        <v>67.751210443950583</v>
      </c>
      <c r="AP28" s="15">
        <f>(AN27+AO27)*Population!$B$12*Population!$N$41+AP27*Population!$B$11*Population!$N$43</f>
        <v>113.0804985852524</v>
      </c>
      <c r="AQ28" s="5">
        <f>AP27*Population!N$43*Population!$B$12+AQ27*Population!$B$11*Population!N$44</f>
        <v>77.106189475610236</v>
      </c>
      <c r="AR28" s="5">
        <f>AQ27*Population!N$44*Population!$B$12+AR27*Population!$B$11*Population!N$45</f>
        <v>41.926465526192032</v>
      </c>
      <c r="AS28" s="5">
        <f>(AR27*Population!$B$12+AS27)*Population!N$46</f>
        <v>40.409617488053371</v>
      </c>
    </row>
    <row r="29" spans="1:45">
      <c r="A29">
        <f>A28+Population!$B$2</f>
        <v>26</v>
      </c>
      <c r="B29" s="4">
        <f t="shared" si="4"/>
        <v>1541</v>
      </c>
      <c r="C29" s="54">
        <f t="shared" si="2"/>
        <v>755</v>
      </c>
      <c r="D29" s="12">
        <f>AE28*Population!$Q$32*Population!$C$2+AG28*Population!$Q$34*Population!$C$2+AI28*Population!$Q$36*Population!$C$2+AK28*Population!$Q$38*Population!$C$2+AM28*Population!$Q$40*Population!$C$2+AO27*Population!$Q$42*Population!$C$2</f>
        <v>25.159424212902774</v>
      </c>
      <c r="E29" s="12">
        <f>IF(B28&gt;Population!$B$6*Population!$B$15,Population!$B$8,IF(Population!$J$6=1,D29,Population!$B$8*Population!$B$6*0.9/B28))</f>
        <v>23.761836638153017</v>
      </c>
      <c r="F29" s="12">
        <f>IF(B28&gt;Population!$B$6*0.75,Population!$B$8,E29)</f>
        <v>23.761836638153017</v>
      </c>
      <c r="G29" s="15">
        <f>IF(Population!$J$6=1,IF(E29&gt;H28,H28,E29),IF(E29&gt;X28,X28,E29))</f>
        <v>23.761836638153017</v>
      </c>
      <c r="H29" s="15">
        <f t="shared" si="5"/>
        <v>371</v>
      </c>
      <c r="I29" s="15">
        <f t="shared" si="6"/>
        <v>473</v>
      </c>
      <c r="J29" s="12">
        <f t="shared" si="3"/>
        <v>1.274932614555256</v>
      </c>
      <c r="K29" s="12">
        <f>AB29*Population!$P$29+AC29*Population!$P$30+AD29*Population!$P$31+AE29*Population!$P$32+AF29*Population!$P$33+AG29*Population!$P$34+AH29*Population!$P$35+AI29*Population!$P$36+AJ29*Population!$P$37+AK29*Population!$P$38+AL29*Population!$P$39+AM29*Population!$P$40+AN29*Population!$P$41+AO29*Population!$P$42+AP29*Population!$P$43+AQ29*Population!$P$44+AR29*Population!$P$45+AS29*Population!$P$46</f>
        <v>7.5470039566843319</v>
      </c>
      <c r="L29" s="12">
        <f t="shared" si="7"/>
        <v>6.4048077191787109E-2</v>
      </c>
      <c r="M29" s="12">
        <f t="shared" si="8"/>
        <v>11.165470582287861</v>
      </c>
      <c r="N29" s="12">
        <f t="shared" si="0"/>
        <v>0.30694354315379624</v>
      </c>
      <c r="O29" s="12">
        <f t="shared" si="9"/>
        <v>446.28557137153643</v>
      </c>
      <c r="P29" s="12">
        <f t="shared" si="10"/>
        <v>198</v>
      </c>
      <c r="Q29" s="12">
        <f t="shared" si="11"/>
        <v>112.85721431423178</v>
      </c>
      <c r="R29" s="12">
        <f t="shared" si="12"/>
        <v>40.409617488053371</v>
      </c>
      <c r="S29" s="12">
        <f t="shared" si="13"/>
        <v>2.85885979211743E-2</v>
      </c>
      <c r="T29" s="12">
        <f t="shared" si="1"/>
        <v>0.83789006553701284</v>
      </c>
      <c r="U29" s="12">
        <f>Population!$B$13*MIN(Z28:AA28)</f>
        <v>16.923673884483605</v>
      </c>
      <c r="V29" s="12">
        <f>X28*Population!$B$14</f>
        <v>1.8220682415051697</v>
      </c>
      <c r="W29" s="12">
        <f>AO28*T28*Population!$B$12</f>
        <v>7.9224315796082481</v>
      </c>
      <c r="X29" s="12">
        <f t="shared" si="17"/>
        <v>310.85721431423178</v>
      </c>
      <c r="Y29" s="12">
        <f>IF(B28&lt;Vehicle!$B$1*0.75,Vehicle!$B$1*0.01,0)</f>
        <v>0</v>
      </c>
      <c r="Z29" s="14">
        <f t="shared" si="15"/>
        <v>97.277591917058601</v>
      </c>
      <c r="AA29" s="13">
        <f t="shared" si="16"/>
        <v>60.846472019746386</v>
      </c>
      <c r="AB29" s="18">
        <f>(G29+Population!$B$11*AB28)*Population!N$29</f>
        <v>163.72993991332402</v>
      </c>
      <c r="AC29" s="18">
        <f>AB28*Population!$B$12*Population!$N$29+AC28*Population!$B$11*Population!$N$30+Y29*Population!$L$30</f>
        <v>159.70160299950044</v>
      </c>
      <c r="AD29" s="14">
        <f>(AC28*Population!$B$12*0.5*Population!$N$30)+(AD28*Population!$B$11*Population!N$31)+Y29*Population!$L$31</f>
        <v>75.166038084138634</v>
      </c>
      <c r="AE29" s="13">
        <f>(AC28*Population!$B$12*0.5*Population!$N$30)+(AE28*Population!$B$11*Population!N$31)+Y29*Population!$L$32</f>
        <v>75.166038084138634</v>
      </c>
      <c r="AF29" s="14">
        <f>(AD28*Population!$B$12*Population!N$31)+(AF28*Population!$B$11*Population!N$33)+Y29*Population!$L$33</f>
        <v>73.698215091685867</v>
      </c>
      <c r="AG29" s="13">
        <f>(AE28*Population!$B$12*Population!N$31)+(AG28*Population!$B$11*Population!N$33)+Y29*Population!$L$34</f>
        <v>73.091036414316264</v>
      </c>
      <c r="AH29" s="14">
        <f>(AF28*Population!$B$12*Population!N$33)+(AH28*Population!$B$11*Population!N$35)+Y29*Population!$L$35</f>
        <v>81.821640752743448</v>
      </c>
      <c r="AI29" s="13">
        <f>(AG28*Population!$B$12*Population!N$33)+(AI28*Population!$B$11*Population!N$35)+Y29*Population!$L$36</f>
        <v>78.790717856907548</v>
      </c>
      <c r="AJ29" s="14">
        <f>(AH28*Population!$B$12*Population!N$35)+(AJ28*Population!$B$11*Population!N$37)+Y29*Population!$L$37</f>
        <v>84.46951434596906</v>
      </c>
      <c r="AK29" s="13">
        <f>(AI28*Population!$B$12*Population!N$35)+(AK28*Population!$B$11*Population!N$37)+Y29*Population!$L$38</f>
        <v>77.078639994467935</v>
      </c>
      <c r="AL29" s="14">
        <f>(AJ28*Population!$B$12*Population!N$37)+(AL28*Population!$B$11*Population!N$39)+Y29*Population!$L$39</f>
        <v>85.949727221943562</v>
      </c>
      <c r="AM29" s="13">
        <f>(AK28*Population!$B$12*Population!N$37)+(AM28*Population!$B$11*Population!N$39)+Y29*Population!$L$40</f>
        <v>74.234416330529484</v>
      </c>
      <c r="AN29" s="14">
        <f>(AL28*Population!$B$12*Population!N$39)+(AN28*Population!$B$11*Population!N$41)+Y29*Population!$L$41</f>
        <v>82.195708818948432</v>
      </c>
      <c r="AO29" s="13">
        <f>(AM28*Population!$B$12*Population!N$39)+(AO28*Population!$B$11*Population!N$41)+Y29*Population!$L$42</f>
        <v>68.50887573775691</v>
      </c>
      <c r="AP29" s="15">
        <f>(AN28+AO28)*Population!$B$12*Population!$N$41+AP28*Population!$B$11*Population!$N$43</f>
        <v>117.53141940136661</v>
      </c>
      <c r="AQ29" s="5">
        <f>AP28*Population!N$43*Population!$B$12+AQ28*Population!$B$11*Population!N$44</f>
        <v>81.649097511711673</v>
      </c>
      <c r="AR29" s="5">
        <f>AQ28*Population!N$44*Population!$B$12+AR28*Population!$B$11*Population!N$45</f>
        <v>45.056744646966415</v>
      </c>
      <c r="AS29" s="5">
        <f>(AR28*Population!$B$12+AS28)*Population!N$46</f>
        <v>44.055029396529598</v>
      </c>
    </row>
    <row r="30" spans="1:45">
      <c r="A30">
        <f>A29+Population!$B$2</f>
        <v>27</v>
      </c>
      <c r="B30" s="4">
        <f t="shared" si="4"/>
        <v>1558</v>
      </c>
      <c r="C30" s="54">
        <f t="shared" si="2"/>
        <v>755</v>
      </c>
      <c r="D30" s="12">
        <f>AE29*Population!$Q$32*Population!$C$2+AG29*Population!$Q$34*Population!$C$2+AI29*Population!$Q$36*Population!$C$2+AK29*Population!$Q$38*Population!$C$2+AM29*Population!$Q$40*Population!$C$2+AO28*Population!$Q$42*Population!$C$2</f>
        <v>25.168090328850461</v>
      </c>
      <c r="E30" s="12">
        <f>IF(B29&gt;Population!$B$6*Population!$B$15,Population!$B$8,IF(Population!$J$6=1,D30,Population!$B$8*Population!$B$6*0.9/B29))</f>
        <v>23.761836638153017</v>
      </c>
      <c r="F30" s="12">
        <f>IF(B29&gt;Population!$B$6*0.75,Population!$B$8,E30)</f>
        <v>23.761836638153017</v>
      </c>
      <c r="G30" s="15">
        <f>IF(Population!$J$6=1,IF(E30&gt;H29,H29,E30),IF(E30&gt;X29,X29,E30))</f>
        <v>23.761836638153017</v>
      </c>
      <c r="H30" s="15">
        <f t="shared" si="5"/>
        <v>372</v>
      </c>
      <c r="I30" s="15">
        <f t="shared" si="6"/>
        <v>475</v>
      </c>
      <c r="J30" s="12">
        <f t="shared" si="3"/>
        <v>1.2768817204301075</v>
      </c>
      <c r="K30" s="12">
        <f>AB30*Population!$P$29+AC30*Population!$P$30+AD30*Population!$P$31+AE30*Population!$P$32+AF30*Population!$P$33+AG30*Population!$P$34+AH30*Population!$P$35+AI30*Population!$P$36+AJ30*Population!$P$37+AK30*Population!$P$38+AL30*Population!$P$39+AM30*Population!$P$40+AN30*Population!$P$41+AO30*Population!$P$42+AP30*Population!$P$43+AQ30*Population!$P$44+AR30*Population!$P$45+AS30*Population!$P$46</f>
        <v>7.9643132896028952</v>
      </c>
      <c r="L30" s="12">
        <f t="shared" si="7"/>
        <v>6.3875904941271558E-2</v>
      </c>
      <c r="M30" s="12">
        <f t="shared" si="8"/>
        <v>11.109830308222351</v>
      </c>
      <c r="N30" s="12">
        <f t="shared" si="0"/>
        <v>0.3048780487804878</v>
      </c>
      <c r="O30" s="12">
        <f t="shared" si="9"/>
        <v>450.99345232822714</v>
      </c>
      <c r="P30" s="12">
        <f t="shared" si="10"/>
        <v>198</v>
      </c>
      <c r="Q30" s="12">
        <f t="shared" si="11"/>
        <v>118.00327383588643</v>
      </c>
      <c r="R30" s="12">
        <f t="shared" si="12"/>
        <v>44.055029396529598</v>
      </c>
      <c r="S30" s="12">
        <f t="shared" si="13"/>
        <v>3.07707741690189E-2</v>
      </c>
      <c r="T30" s="12">
        <f t="shared" si="1"/>
        <v>0.84947116622550112</v>
      </c>
      <c r="U30" s="12">
        <f>Population!$B$13*MIN(Z29:AA29)</f>
        <v>15.211618004936597</v>
      </c>
      <c r="V30" s="12">
        <f>X29*Population!$B$14</f>
        <v>1.8651432858853907</v>
      </c>
      <c r="W30" s="12">
        <f>AO29*T29*Population!$B$12</f>
        <v>8.2004151973966</v>
      </c>
      <c r="X30" s="12">
        <f t="shared" si="17"/>
        <v>316.00327383588643</v>
      </c>
      <c r="Y30" s="12">
        <f>IF(B29&lt;Vehicle!$B$1*0.75,Vehicle!$B$1*0.01,0)</f>
        <v>0</v>
      </c>
      <c r="Z30" s="14">
        <f t="shared" si="15"/>
        <v>90.427252854551909</v>
      </c>
      <c r="AA30" s="13">
        <f t="shared" si="16"/>
        <v>56.01700133161512</v>
      </c>
      <c r="AB30" s="18">
        <f>(G30+Population!$B$11*AB29)*Population!N$29</f>
        <v>164.03515981052297</v>
      </c>
      <c r="AC30" s="18">
        <f>AB29*Population!$B$12*Population!$N$29+AC29*Population!$B$11*Population!$N$30+Y30*Population!$L$30</f>
        <v>160.23678377009608</v>
      </c>
      <c r="AD30" s="14">
        <f>(AC29*Population!$B$12*0.5*Population!$N$30)+(AD29*Population!$B$11*Population!N$31)+Y30*Population!$L$31</f>
        <v>75.771323452639933</v>
      </c>
      <c r="AE30" s="13">
        <f>(AC29*Population!$B$12*0.5*Population!$N$30)+(AE29*Population!$B$11*Population!N$31)+Y30*Population!$L$32</f>
        <v>75.771323452639933</v>
      </c>
      <c r="AF30" s="14">
        <f>(AD29*Population!$B$12*Population!N$31)+(AF29*Population!$B$11*Population!N$33)+Y30*Population!$L$33</f>
        <v>73.837469858009342</v>
      </c>
      <c r="AG30" s="13">
        <f>(AE29*Population!$B$12*Population!N$31)+(AG29*Population!$B$11*Population!N$33)+Y30*Population!$L$34</f>
        <v>73.317526969932146</v>
      </c>
      <c r="AH30" s="14">
        <f>(AF29*Population!$B$12*Population!N$33)+(AH29*Population!$B$11*Population!N$35)+Y30*Population!$L$35</f>
        <v>80.516462843956091</v>
      </c>
      <c r="AI30" s="13">
        <f>(AG29*Population!$B$12*Population!N$33)+(AI29*Population!$B$11*Population!N$35)+Y30*Population!$L$36</f>
        <v>77.836859818335313</v>
      </c>
      <c r="AJ30" s="14">
        <f>(AH29*Population!$B$12*Population!N$35)+(AJ29*Population!$B$11*Population!N$37)+Y30*Population!$L$37</f>
        <v>83.929791496149562</v>
      </c>
      <c r="AK30" s="13">
        <f>(AI29*Population!$B$12*Population!N$35)+(AK29*Population!$B$11*Population!N$37)+Y30*Population!$L$38</f>
        <v>77.174761958956239</v>
      </c>
      <c r="AL30" s="14">
        <f>(AJ29*Population!$B$12*Population!N$37)+(AL29*Population!$B$11*Population!N$39)+Y30*Population!$L$39</f>
        <v>85.573650764641343</v>
      </c>
      <c r="AM30" s="13">
        <f>(AK29*Population!$B$12*Population!N$37)+(AM29*Population!$B$11*Population!N$39)+Y30*Population!$L$40</f>
        <v>74.49742378753254</v>
      </c>
      <c r="AN30" s="14">
        <f>(AL29*Population!$B$12*Population!N$39)+(AN29*Population!$B$11*Population!N$41)+Y30*Population!$L$41</f>
        <v>82.57315172768196</v>
      </c>
      <c r="AO30" s="13">
        <f>(AM29*Population!$B$12*Population!N$39)+(AO29*Population!$B$11*Population!N$41)+Y30*Population!$L$42</f>
        <v>69.193702632745342</v>
      </c>
      <c r="AP30" s="15">
        <f>(AN29+AO29)*Population!$B$12*Population!$N$41+AP29*Population!$B$11*Population!$N$43</f>
        <v>121.49873305979952</v>
      </c>
      <c r="AQ30" s="5">
        <f>AP29*Population!N$43*Population!$B$12+AQ29*Population!$B$11*Population!N$44</f>
        <v>86.146023705602488</v>
      </c>
      <c r="AR30" s="5">
        <f>AQ29*Population!N$44*Population!$B$12+AR29*Population!$B$11*Population!N$45</f>
        <v>48.248572714165974</v>
      </c>
      <c r="AS30" s="5">
        <f>(AR29*Population!$B$12+AS29)*Population!N$46</f>
        <v>47.940866155331449</v>
      </c>
    </row>
    <row r="31" spans="1:45">
      <c r="A31">
        <f>A30+Population!$B$2</f>
        <v>28</v>
      </c>
      <c r="B31" s="4">
        <f t="shared" si="4"/>
        <v>1573</v>
      </c>
      <c r="C31" s="54">
        <f t="shared" si="2"/>
        <v>753</v>
      </c>
      <c r="D31" s="12">
        <f>AE30*Population!$Q$32*Population!$C$2+AG30*Population!$Q$34*Population!$C$2+AI30*Population!$Q$36*Population!$C$2+AK30*Population!$Q$38*Population!$C$2+AM30*Population!$Q$40*Population!$C$2+AO29*Population!$Q$42*Population!$C$2</f>
        <v>25.149403657420759</v>
      </c>
      <c r="E31" s="12">
        <f>IF(B30&gt;Population!$B$6*Population!$B$15,Population!$B$8,IF(Population!$J$6=1,D31,Population!$B$8*Population!$B$6*0.9/B30))</f>
        <v>23.761836638153017</v>
      </c>
      <c r="F31" s="12">
        <f>IF(B30&gt;Population!$B$6*0.75,Population!$B$8,E31)</f>
        <v>23.761836638153017</v>
      </c>
      <c r="G31" s="15">
        <f>IF(Population!$J$6=1,IF(E31&gt;H30,H30,E31),IF(E31&gt;X30,X30,E31))</f>
        <v>23.761836638153017</v>
      </c>
      <c r="H31" s="15">
        <f t="shared" si="5"/>
        <v>372</v>
      </c>
      <c r="I31" s="15">
        <f t="shared" si="6"/>
        <v>477</v>
      </c>
      <c r="J31" s="12">
        <f t="shared" si="3"/>
        <v>1.282258064516129</v>
      </c>
      <c r="K31" s="12">
        <f>AB31*Population!$P$29+AC31*Population!$P$30+AD31*Population!$P$31+AE31*Population!$P$32+AF31*Population!$P$33+AG31*Population!$P$34+AH31*Population!$P$35+AI31*Population!$P$36+AJ31*Population!$P$37+AK31*Population!$P$38+AL31*Population!$P$39+AM31*Population!$P$40+AN31*Population!$P$41+AO31*Population!$P$42+AP31*Population!$P$43+AQ31*Population!$P$44+AR31*Population!$P$45+AS31*Population!$P$46</f>
        <v>8.3916199819415134</v>
      </c>
      <c r="L31" s="12">
        <f t="shared" si="7"/>
        <v>6.3875904941271558E-2</v>
      </c>
      <c r="M31" s="12">
        <f t="shared" si="8"/>
        <v>11.059924897376941</v>
      </c>
      <c r="N31" s="12">
        <f t="shared" si="0"/>
        <v>0.30324221233312143</v>
      </c>
      <c r="O31" s="12">
        <f t="shared" si="9"/>
        <v>456.57072102584982</v>
      </c>
      <c r="P31" s="12">
        <f t="shared" si="10"/>
        <v>199</v>
      </c>
      <c r="Q31" s="12">
        <f t="shared" si="11"/>
        <v>120.71463948707509</v>
      </c>
      <c r="R31" s="12">
        <f t="shared" si="12"/>
        <v>47.940866155331449</v>
      </c>
      <c r="S31" s="12">
        <f t="shared" si="13"/>
        <v>3.3098111888184088E-2</v>
      </c>
      <c r="T31" s="12">
        <f t="shared" si="1"/>
        <v>0.85944795561041687</v>
      </c>
      <c r="U31" s="12">
        <f>Population!$B$13*MIN(Z30:AA30)</f>
        <v>14.00425033290378</v>
      </c>
      <c r="V31" s="12">
        <f>X30*Population!$B$14</f>
        <v>1.8960196430153187</v>
      </c>
      <c r="W31" s="12">
        <f>AO30*T30*Population!$B$12</f>
        <v>8.3968650386998149</v>
      </c>
      <c r="X31" s="12">
        <f t="shared" si="17"/>
        <v>319.71463948707509</v>
      </c>
      <c r="Y31" s="12">
        <f>IF(B30&lt;Vehicle!$B$1*0.75,Vehicle!$B$1*0.01,0)</f>
        <v>0</v>
      </c>
      <c r="Z31" s="14">
        <f t="shared" si="15"/>
        <v>85.047584583330945</v>
      </c>
      <c r="AA31" s="13">
        <f t="shared" si="16"/>
        <v>52.61057803749901</v>
      </c>
      <c r="AB31" s="18">
        <f>(G31+Population!$B$11*AB30)*Population!N$29</f>
        <v>164.2966706487407</v>
      </c>
      <c r="AC31" s="18">
        <f>AB30*Population!$B$12*Population!$N$29+AC30*Population!$B$11*Population!$N$30+Y31*Population!$L$30</f>
        <v>160.73899207116096</v>
      </c>
      <c r="AD31" s="14">
        <f>(AC30*Population!$B$12*0.5*Population!$N$30)+(AD30*Population!$B$11*Population!N$31)+Y31*Population!$L$31</f>
        <v>76.327863647887327</v>
      </c>
      <c r="AE31" s="13">
        <f>(AC30*Population!$B$12*0.5*Population!$N$30)+(AE30*Population!$B$11*Population!N$31)+Y31*Population!$L$32</f>
        <v>76.327863647887327</v>
      </c>
      <c r="AF31" s="14">
        <f>(AD30*Population!$B$12*Population!N$31)+(AF30*Population!$B$11*Population!N$33)+Y31*Population!$L$33</f>
        <v>74.043104268113936</v>
      </c>
      <c r="AG31" s="13">
        <f>(AE30*Population!$B$12*Population!N$31)+(AG30*Population!$B$11*Population!N$33)+Y31*Population!$L$34</f>
        <v>73.597863654538344</v>
      </c>
      <c r="AH31" s="14">
        <f>(AF30*Population!$B$12*Population!N$33)+(AH30*Population!$B$11*Population!N$35)+Y31*Population!$L$35</f>
        <v>79.419761451572683</v>
      </c>
      <c r="AI31" s="13">
        <f>(AG30*Population!$B$12*Population!N$33)+(AI30*Population!$B$11*Population!N$35)+Y31*Population!$L$36</f>
        <v>77.053161950233488</v>
      </c>
      <c r="AJ31" s="14">
        <f>(AH30*Population!$B$12*Population!N$35)+(AJ30*Population!$B$11*Population!N$37)+Y31*Population!$L$37</f>
        <v>83.281964144879623</v>
      </c>
      <c r="AK31" s="13">
        <f>(AI30*Population!$B$12*Population!N$35)+(AK30*Population!$B$11*Population!N$37)+Y31*Population!$L$38</f>
        <v>77.120990220493482</v>
      </c>
      <c r="AL31" s="14">
        <f>(AJ30*Population!$B$12*Population!N$37)+(AL30*Population!$B$11*Population!N$39)+Y31*Population!$L$39</f>
        <v>85.174963203930929</v>
      </c>
      <c r="AM31" s="13">
        <f>(AK30*Population!$B$12*Population!N$37)+(AM30*Population!$B$11*Population!N$39)+Y31*Population!$L$40</f>
        <v>74.736131259879699</v>
      </c>
      <c r="AN31" s="14">
        <f>(AL30*Population!$B$12*Population!N$39)+(AN30*Population!$B$11*Population!N$41)+Y31*Population!$L$41</f>
        <v>82.842431001908878</v>
      </c>
      <c r="AO31" s="13">
        <f>(AM30*Population!$B$12*Population!N$39)+(AO30*Population!$B$11*Population!N$41)+Y31*Population!$L$42</f>
        <v>69.817070439429045</v>
      </c>
      <c r="AP31" s="15">
        <f>(AN30+AO30)*Population!$B$12*Population!$N$41+AP30*Population!$B$11*Population!$N$43</f>
        <v>125.02609506725017</v>
      </c>
      <c r="AQ31" s="5">
        <f>AP30*Population!N$43*Population!$B$12+AQ30*Population!$B$11*Population!N$44</f>
        <v>90.535236778219598</v>
      </c>
      <c r="AR31" s="5">
        <f>AQ30*Population!N$44*Population!$B$12+AR30*Population!$B$11*Population!N$45</f>
        <v>51.483970565373539</v>
      </c>
      <c r="AS31" s="5">
        <f>(AR30*Population!$B$12+AS30)*Population!N$46</f>
        <v>52.063330000113574</v>
      </c>
    </row>
    <row r="32" spans="1:45">
      <c r="A32">
        <f>A31+Population!$B$2</f>
        <v>29</v>
      </c>
      <c r="B32" s="4">
        <f t="shared" si="4"/>
        <v>1589</v>
      </c>
      <c r="C32" s="54">
        <f t="shared" si="2"/>
        <v>752</v>
      </c>
      <c r="D32" s="12">
        <f>AE31*Population!$Q$32*Population!$C$2+AG31*Population!$Q$34*Population!$C$2+AI31*Population!$Q$36*Population!$C$2+AK31*Population!$Q$38*Population!$C$2+AM31*Population!$Q$40*Population!$C$2+AO30*Population!$Q$42*Population!$C$2</f>
        <v>25.133836939284123</v>
      </c>
      <c r="E32" s="12">
        <f>IF(B31&gt;Population!$B$6*Population!$B$15,Population!$B$8,IF(Population!$J$6=1,D32,Population!$B$8*Population!$B$6*0.9/B31))</f>
        <v>23.761836638153017</v>
      </c>
      <c r="F32" s="12">
        <f>IF(B31&gt;Population!$B$6*0.75,Population!$B$8,E32)</f>
        <v>23.761836638153017</v>
      </c>
      <c r="G32" s="15">
        <f>IF(Population!$J$6=1,IF(E32&gt;H31,H31,E32),IF(E32&gt;X31,X31,E32))</f>
        <v>23.761836638153017</v>
      </c>
      <c r="H32" s="15">
        <f t="shared" si="5"/>
        <v>372</v>
      </c>
      <c r="I32" s="15">
        <f t="shared" si="6"/>
        <v>479</v>
      </c>
      <c r="J32" s="12">
        <f t="shared" si="3"/>
        <v>1.2876344086021505</v>
      </c>
      <c r="K32" s="12">
        <f>AB32*Population!$P$29+AC32*Population!$P$30+AD32*Population!$P$31+AE32*Population!$P$32+AF32*Population!$P$33+AG32*Population!$P$34+AH32*Population!$P$35+AI32*Population!$P$36+AJ32*Population!$P$37+AK32*Population!$P$38+AL32*Population!$P$39+AM32*Population!$P$40+AN32*Population!$P$41+AO32*Population!$P$42+AP32*Population!$P$43+AQ32*Population!$P$44+AR32*Population!$P$45+AS32*Population!$P$46</f>
        <v>8.8274624163855346</v>
      </c>
      <c r="L32" s="12">
        <f t="shared" si="7"/>
        <v>6.3875904941271558E-2</v>
      </c>
      <c r="M32" s="12">
        <f t="shared" si="8"/>
        <v>11.016290683092818</v>
      </c>
      <c r="N32" s="12">
        <f t="shared" si="0"/>
        <v>0.30144745122718691</v>
      </c>
      <c r="O32" s="12">
        <f t="shared" si="9"/>
        <v>465.24604723976688</v>
      </c>
      <c r="P32" s="12">
        <f t="shared" si="10"/>
        <v>200</v>
      </c>
      <c r="Q32" s="12">
        <f t="shared" si="11"/>
        <v>122.37697638011656</v>
      </c>
      <c r="R32" s="12">
        <f t="shared" si="12"/>
        <v>52.063330000113574</v>
      </c>
      <c r="S32" s="12">
        <f t="shared" si="13"/>
        <v>3.5504327461293332E-2</v>
      </c>
      <c r="T32" s="12">
        <f t="shared" si="1"/>
        <v>0.86660477521536705</v>
      </c>
      <c r="U32" s="12">
        <f>Population!$B$13*MIN(Z31:AA31)</f>
        <v>13.152644509374753</v>
      </c>
      <c r="V32" s="12">
        <f>X31*Population!$B$14</f>
        <v>1.9182878369224505</v>
      </c>
      <c r="W32" s="12">
        <f>AO31*T31*Population!$B$12</f>
        <v>8.572019779410823</v>
      </c>
      <c r="X32" s="12">
        <f t="shared" si="17"/>
        <v>322.37697638011656</v>
      </c>
      <c r="Y32" s="12">
        <f>IF(B31&lt;Vehicle!$B$1*0.75,Vehicle!$B$1*0.01,0)</f>
        <v>0</v>
      </c>
      <c r="Z32" s="14">
        <f t="shared" si="15"/>
        <v>80.761382424679539</v>
      </c>
      <c r="AA32" s="13">
        <f t="shared" si="16"/>
        <v>50.243417508056496</v>
      </c>
      <c r="AB32" s="18">
        <f>(G32+Population!$B$11*AB31)*Population!N$29</f>
        <v>164.52073179001277</v>
      </c>
      <c r="AC32" s="18">
        <f>AB31*Population!$B$12*Population!$N$29+AC31*Population!$B$11*Population!$N$30+Y32*Population!$L$30</f>
        <v>161.20670299830388</v>
      </c>
      <c r="AD32" s="14">
        <f>(AC31*Population!$B$12*0.5*Population!$N$30)+(AD31*Population!$B$11*Population!N$31)+Y32*Population!$L$31</f>
        <v>76.840307437422553</v>
      </c>
      <c r="AE32" s="13">
        <f>(AC31*Population!$B$12*0.5*Population!$N$30)+(AE31*Population!$B$11*Population!N$31)+Y32*Population!$L$32</f>
        <v>76.840307437422553</v>
      </c>
      <c r="AF32" s="14">
        <f>(AD31*Population!$B$12*Population!N$31)+(AF31*Population!$B$11*Population!N$33)+Y32*Population!$L$33</f>
        <v>74.298624333187064</v>
      </c>
      <c r="AG32" s="13">
        <f>(AE31*Population!$B$12*Population!N$31)+(AG31*Population!$B$11*Population!N$33)+Y32*Population!$L$34</f>
        <v>73.917353219526333</v>
      </c>
      <c r="AH32" s="14">
        <f>(AF31*Population!$B$12*Population!N$33)+(AH31*Population!$B$11*Population!N$35)+Y32*Population!$L$35</f>
        <v>78.510884892465768</v>
      </c>
      <c r="AI32" s="13">
        <f>(AG31*Population!$B$12*Population!N$33)+(AI31*Population!$B$11*Population!N$35)+Y32*Population!$L$36</f>
        <v>76.422720595172848</v>
      </c>
      <c r="AJ32" s="14">
        <f>(AH31*Population!$B$12*Population!N$35)+(AJ31*Population!$B$11*Population!N$37)+Y32*Population!$L$37</f>
        <v>82.571378878844911</v>
      </c>
      <c r="AK32" s="13">
        <f>(AI31*Population!$B$12*Population!N$35)+(AK31*Population!$B$11*Population!N$37)+Y32*Population!$L$38</f>
        <v>76.963246770701403</v>
      </c>
      <c r="AL32" s="14">
        <f>(AJ31*Population!$B$12*Population!N$37)+(AL31*Population!$B$11*Population!N$39)+Y32*Population!$L$39</f>
        <v>84.741518060171103</v>
      </c>
      <c r="AM32" s="13">
        <f>(AK31*Population!$B$12*Population!N$37)+(AM31*Population!$B$11*Population!N$39)+Y32*Population!$L$40</f>
        <v>74.932677892347783</v>
      </c>
      <c r="AN32" s="14">
        <f>(AL31*Population!$B$12*Population!N$39)+(AN31*Population!$B$11*Population!N$41)+Y32*Population!$L$41</f>
        <v>83.015952640127239</v>
      </c>
      <c r="AO32" s="13">
        <f>(AM31*Population!$B$12*Population!N$39)+(AO31*Population!$B$11*Population!N$41)+Y32*Population!$L$42</f>
        <v>70.384395410424688</v>
      </c>
      <c r="AP32" s="15">
        <f>(AN31+AO31)*Population!$B$12*Population!$N$41+AP31*Population!$B$11*Population!$N$43</f>
        <v>128.15490435237803</v>
      </c>
      <c r="AQ32" s="5">
        <f>AP31*Population!N$43*Population!$B$12+AQ31*Population!$B$11*Population!N$44</f>
        <v>94.770399106782534</v>
      </c>
      <c r="AR32" s="5">
        <f>AQ31*Population!N$44*Population!$B$12+AR31*Population!$B$11*Population!N$45</f>
        <v>54.739551220863248</v>
      </c>
      <c r="AS32" s="5">
        <f>(AR31*Population!$B$12+AS31)*Population!N$46</f>
        <v>56.416376335995103</v>
      </c>
    </row>
    <row r="33" spans="1:45">
      <c r="A33">
        <f>A32+Population!$B$2</f>
        <v>30</v>
      </c>
      <c r="B33" s="4">
        <f t="shared" si="4"/>
        <v>1604</v>
      </c>
      <c r="C33" s="54">
        <f t="shared" si="2"/>
        <v>751</v>
      </c>
      <c r="D33" s="12">
        <f>AE32*Population!$Q$32*Population!$C$2+AG32*Population!$Q$34*Population!$C$2+AI32*Population!$Q$36*Population!$C$2+AK32*Population!$Q$38*Population!$C$2+AM32*Population!$Q$40*Population!$C$2+AO31*Population!$Q$42*Population!$C$2</f>
        <v>25.122518602385853</v>
      </c>
      <c r="E33" s="12">
        <f>IF(B32&gt;Population!$B$6*Population!$B$15,Population!$B$8,IF(Population!$J$6=1,D33,Population!$B$8*Population!$B$6*0.9/B32))</f>
        <v>23.761836638153017</v>
      </c>
      <c r="F33" s="12">
        <f>IF(B32&gt;Population!$B$6*0.75,Population!$B$8,E33)</f>
        <v>23.761836638153017</v>
      </c>
      <c r="G33" s="15">
        <f>IF(Population!$J$6=1,IF(E33&gt;H32,H32,E33),IF(E33&gt;X32,X32,E33))</f>
        <v>23.761836638153017</v>
      </c>
      <c r="H33" s="15">
        <f t="shared" si="5"/>
        <v>372</v>
      </c>
      <c r="I33" s="15">
        <f t="shared" si="6"/>
        <v>480</v>
      </c>
      <c r="J33" s="12">
        <f t="shared" si="3"/>
        <v>1.2903225806451613</v>
      </c>
      <c r="K33" s="12">
        <f>AB33*Population!$P$29+AC33*Population!$P$30+AD33*Population!$P$31+AE33*Population!$P$32+AF33*Population!$P$33+AG33*Population!$P$34+AH33*Population!$P$35+AI33*Population!$P$36+AJ33*Population!$P$37+AK33*Population!$P$38+AL33*Population!$P$39+AM33*Population!$P$40+AN33*Population!$P$41+AO33*Population!$P$42+AP33*Population!$P$43+AQ33*Population!$P$44+AR33*Population!$P$45+AS33*Population!$P$46</f>
        <v>9.2701787821052299</v>
      </c>
      <c r="L33" s="12">
        <f t="shared" si="7"/>
        <v>6.3875904941271558E-2</v>
      </c>
      <c r="M33" s="12">
        <f t="shared" si="8"/>
        <v>10.979184003731703</v>
      </c>
      <c r="N33" s="12">
        <f t="shared" si="0"/>
        <v>0.29925187032418954</v>
      </c>
      <c r="O33" s="12">
        <f t="shared" si="9"/>
        <v>475.42013453467746</v>
      </c>
      <c r="P33" s="12">
        <f t="shared" si="10"/>
        <v>200</v>
      </c>
      <c r="Q33" s="12">
        <f t="shared" si="11"/>
        <v>124.28993273266127</v>
      </c>
      <c r="R33" s="12">
        <f t="shared" si="12"/>
        <v>56.416376335995103</v>
      </c>
      <c r="S33" s="12">
        <f t="shared" si="13"/>
        <v>3.8024372650310799E-2</v>
      </c>
      <c r="T33" s="12">
        <f t="shared" si="1"/>
        <v>0.87174713100177759</v>
      </c>
      <c r="U33" s="12">
        <f>Population!$B$13*MIN(Z32:AA32)</f>
        <v>12.560854377014124</v>
      </c>
      <c r="V33" s="12">
        <f>X32*Population!$B$14</f>
        <v>1.9342618582806994</v>
      </c>
      <c r="W33" s="12">
        <f>AO32*T32*Population!$B$12</f>
        <v>8.7136361661886568</v>
      </c>
      <c r="X33" s="12">
        <f t="shared" si="17"/>
        <v>324.28993273266127</v>
      </c>
      <c r="Y33" s="12">
        <f>IF(B32&lt;Vehicle!$B$1*0.75,Vehicle!$B$1*0.01,0)</f>
        <v>0</v>
      </c>
      <c r="Z33" s="14">
        <f t="shared" si="15"/>
        <v>77.276320994870787</v>
      </c>
      <c r="AA33" s="13">
        <f t="shared" si="16"/>
        <v>48.617625401695193</v>
      </c>
      <c r="AB33" s="18">
        <f>(G33+Population!$B$11*AB32)*Population!N$29</f>
        <v>164.71270622354027</v>
      </c>
      <c r="AC33" s="18">
        <f>AB32*Population!$B$12*Population!$N$29+AC32*Population!$B$11*Population!$N$30+Y33*Population!$L$30</f>
        <v>161.63950361624026</v>
      </c>
      <c r="AD33" s="14">
        <f>(AC32*Population!$B$12*0.5*Population!$N$30)+(AD32*Population!$B$11*Population!N$31)+Y33*Population!$L$31</f>
        <v>77.312526784524678</v>
      </c>
      <c r="AE33" s="13">
        <f>(AC32*Population!$B$12*0.5*Population!$N$30)+(AE32*Population!$B$11*Population!N$31)+Y33*Population!$L$32</f>
        <v>77.312526784524678</v>
      </c>
      <c r="AF33" s="14">
        <f>(AD32*Population!$B$12*Population!N$31)+(AF32*Population!$B$11*Population!N$33)+Y33*Population!$L$33</f>
        <v>74.590569298517138</v>
      </c>
      <c r="AG33" s="13">
        <f>(AE32*Population!$B$12*Population!N$31)+(AG32*Population!$B$11*Population!N$33)+Y33*Population!$L$34</f>
        <v>74.264076930840503</v>
      </c>
      <c r="AH33" s="14">
        <f>(AF32*Population!$B$12*Population!N$33)+(AH32*Population!$B$11*Population!N$35)+Y33*Population!$L$35</f>
        <v>77.769811672147284</v>
      </c>
      <c r="AI33" s="13">
        <f>(AG32*Population!$B$12*Population!N$33)+(AI32*Population!$B$11*Population!N$35)+Y33*Population!$L$36</f>
        <v>75.928977687384119</v>
      </c>
      <c r="AJ33" s="14">
        <f>(AH32*Population!$B$12*Population!N$35)+(AJ32*Population!$B$11*Population!N$37)+Y33*Population!$L$37</f>
        <v>81.833884997408205</v>
      </c>
      <c r="AK33" s="13">
        <f>(AI32*Population!$B$12*Population!N$35)+(AK32*Population!$B$11*Population!N$37)+Y33*Population!$L$38</f>
        <v>76.738407570434291</v>
      </c>
      <c r="AL33" s="14">
        <f>(AJ32*Population!$B$12*Population!N$37)+(AL32*Population!$B$11*Population!N$39)+Y33*Population!$L$39</f>
        <v>84.26938970062443</v>
      </c>
      <c r="AM33" s="13">
        <f>(AK32*Population!$B$12*Population!N$37)+(AM32*Population!$B$11*Population!N$39)+Y33*Population!$L$40</f>
        <v>75.078331463095509</v>
      </c>
      <c r="AN33" s="14">
        <f>(AL32*Population!$B$12*Population!N$39)+(AN32*Population!$B$11*Population!N$41)+Y33*Population!$L$41</f>
        <v>83.102598058834971</v>
      </c>
      <c r="AO33" s="13">
        <f>(AM32*Population!$B$12*Population!N$39)+(AO32*Population!$B$11*Population!N$41)+Y33*Population!$L$42</f>
        <v>70.897764482602071</v>
      </c>
      <c r="AP33" s="15">
        <f>(AN32+AO32)*Population!$B$12*Population!$N$41+AP32*Population!$B$11*Population!$N$43</f>
        <v>130.92292959389067</v>
      </c>
      <c r="AQ33" s="5">
        <f>AP32*Population!N$43*Population!$B$12+AQ32*Population!$B$11*Population!N$44</f>
        <v>98.817951939339068</v>
      </c>
      <c r="AR33" s="5">
        <f>AQ32*Population!N$44*Population!$B$12+AR32*Population!$B$11*Population!N$45</f>
        <v>57.98970975319569</v>
      </c>
      <c r="AS33" s="5">
        <f>(AR32*Population!$B$12+AS32)*Population!N$46</f>
        <v>60.991093731098523</v>
      </c>
    </row>
    <row r="34" spans="1:45">
      <c r="A34">
        <f>A33+Population!$B$2</f>
        <v>31</v>
      </c>
      <c r="B34" s="4">
        <f t="shared" si="4"/>
        <v>1618</v>
      </c>
      <c r="C34" s="54">
        <f t="shared" si="2"/>
        <v>749</v>
      </c>
      <c r="D34" s="12">
        <f>AE33*Population!$Q$32*Population!$C$2+AG33*Population!$Q$34*Population!$C$2+AI33*Population!$Q$36*Population!$C$2+AK33*Population!$Q$38*Population!$C$2+AM33*Population!$Q$40*Population!$C$2+AO32*Population!$Q$42*Population!$C$2</f>
        <v>25.116138073348367</v>
      </c>
      <c r="E34" s="12">
        <f>IF(B33&gt;Population!$B$6*Population!$B$15,Population!$B$8,IF(Population!$J$6=1,D34,Population!$B$8*Population!$B$6*0.9/B33))</f>
        <v>23.761836638153017</v>
      </c>
      <c r="F34" s="12">
        <f>IF(B33&gt;Population!$B$6*0.75,Population!$B$8,E34)</f>
        <v>23.761836638153017</v>
      </c>
      <c r="G34" s="15">
        <f>IF(Population!$J$6=1,IF(E34&gt;H33,H33,E34),IF(E34&gt;X33,X33,E34))</f>
        <v>23.761836638153017</v>
      </c>
      <c r="H34" s="15">
        <f t="shared" si="5"/>
        <v>373</v>
      </c>
      <c r="I34" s="15">
        <f t="shared" si="6"/>
        <v>482</v>
      </c>
      <c r="J34" s="12">
        <f t="shared" ref="J34:J65" si="18">I34/H34</f>
        <v>1.292225201072386</v>
      </c>
      <c r="K34" s="12">
        <f>AB34*Population!$P$29+AC34*Population!$P$30+AD34*Population!$P$31+AE34*Population!$P$32+AF34*Population!$P$33+AG34*Population!$P$34+AH34*Population!$P$35+AI34*Population!$P$36+AJ34*Population!$P$37+AK34*Population!$P$38+AL34*Population!$P$39+AM34*Population!$P$40+AN34*Population!$P$41+AO34*Population!$P$42+AP34*Population!$P$43+AQ34*Population!$P$44+AR34*Population!$P$45+AS34*Population!$P$46</f>
        <v>9.7179937445002196</v>
      </c>
      <c r="L34" s="12">
        <f t="shared" si="7"/>
        <v>6.3704655866361981E-2</v>
      </c>
      <c r="M34" s="12">
        <f t="shared" si="8"/>
        <v>10.948639546047302</v>
      </c>
      <c r="N34" s="12">
        <f t="shared" ref="N34:N65" si="19">I34/B34</f>
        <v>0.29789864029666252</v>
      </c>
      <c r="O34" s="12">
        <f t="shared" si="9"/>
        <v>484.66135039294977</v>
      </c>
      <c r="P34" s="12">
        <f t="shared" si="10"/>
        <v>201</v>
      </c>
      <c r="Q34" s="12">
        <f t="shared" si="11"/>
        <v>124.66932480352511</v>
      </c>
      <c r="R34" s="12">
        <f t="shared" si="12"/>
        <v>60.991093731098523</v>
      </c>
      <c r="S34" s="12">
        <f t="shared" si="13"/>
        <v>4.0652378187099443E-2</v>
      </c>
      <c r="T34" s="12">
        <f t="shared" ref="T34:T65" si="20">X34/H34</f>
        <v>0.87310810939282868</v>
      </c>
      <c r="U34" s="12">
        <f>Population!$B$13*MIN(Z33:AA33)</f>
        <v>12.154406350423798</v>
      </c>
      <c r="V34" s="12">
        <f>X33*Population!$B$14</f>
        <v>1.9457395963959676</v>
      </c>
      <c r="W34" s="12">
        <f>AO33*T33*Population!$B$12</f>
        <v>8.8292746831640105</v>
      </c>
      <c r="X34" s="12">
        <f t="shared" si="17"/>
        <v>325.66932480352511</v>
      </c>
      <c r="Y34" s="12">
        <f>IF(B33&lt;Vehicle!$B$1*0.75,Vehicle!$B$1*0.01,0)</f>
        <v>0</v>
      </c>
      <c r="Z34" s="14">
        <f t="shared" si="15"/>
        <v>74.383166065352725</v>
      </c>
      <c r="AA34" s="13">
        <f t="shared" si="16"/>
        <v>47.519379491848895</v>
      </c>
      <c r="AB34" s="18">
        <f>(G34+Population!$B$11*AB33)*Population!N$29</f>
        <v>164.87718893088953</v>
      </c>
      <c r="AC34" s="18">
        <f>AB33*Population!$B$12*Population!$N$29+AC33*Population!$B$11*Population!$N$30+Y34*Population!$L$30</f>
        <v>162.03780589033903</v>
      </c>
      <c r="AD34" s="14">
        <f>(AC33*Population!$B$12*0.5*Population!$N$30)+(AD33*Population!$B$11*Population!N$31)+Y34*Population!$L$31</f>
        <v>77.747807863279647</v>
      </c>
      <c r="AE34" s="13">
        <f>(AC33*Population!$B$12*0.5*Population!$N$30)+(AE33*Population!$B$11*Population!N$31)+Y34*Population!$L$32</f>
        <v>77.747807863279647</v>
      </c>
      <c r="AF34" s="14">
        <f>(AD33*Population!$B$12*Population!N$31)+(AF33*Population!$B$11*Population!N$33)+Y34*Population!$L$33</f>
        <v>74.907964980336132</v>
      </c>
      <c r="AG34" s="13">
        <f>(AE33*Population!$B$12*Population!N$31)+(AG33*Population!$B$11*Population!N$33)+Y34*Population!$L$34</f>
        <v>74.628381077093081</v>
      </c>
      <c r="AH34" s="14">
        <f>(AF33*Population!$B$12*Population!N$33)+(AH33*Population!$B$11*Population!N$35)+Y34*Population!$L$35</f>
        <v>77.17749232691375</v>
      </c>
      <c r="AI34" s="13">
        <f>(AG33*Population!$B$12*Population!N$33)+(AI33*Population!$B$11*Population!N$35)+Y34*Population!$L$36</f>
        <v>75.556066795267355</v>
      </c>
      <c r="AJ34" s="14">
        <f>(AH33*Population!$B$12*Population!N$35)+(AJ33*Population!$B$11*Population!N$37)+Y34*Population!$L$37</f>
        <v>81.097296751859403</v>
      </c>
      <c r="AK34" s="13">
        <f>(AI33*Population!$B$12*Population!N$35)+(AK33*Population!$B$11*Population!N$37)+Y34*Population!$L$38</f>
        <v>76.475659002516963</v>
      </c>
      <c r="AL34" s="14">
        <f>(AJ33*Population!$B$12*Population!N$37)+(AL33*Population!$B$11*Population!N$39)+Y34*Population!$L$39</f>
        <v>83.760331253229808</v>
      </c>
      <c r="AM34" s="13">
        <f>(AK33*Population!$B$12*Population!N$37)+(AM33*Population!$B$11*Population!N$39)+Y34*Population!$L$40</f>
        <v>75.170879461145319</v>
      </c>
      <c r="AN34" s="14">
        <f>(AL33*Population!$B$12*Population!N$39)+(AN33*Population!$B$11*Population!N$41)+Y34*Population!$L$41</f>
        <v>83.109405556538746</v>
      </c>
      <c r="AO34" s="13">
        <f>(AM33*Population!$B$12*Population!N$39)+(AO33*Population!$B$11*Population!N$41)+Y34*Population!$L$42</f>
        <v>71.357717959351319</v>
      </c>
      <c r="AP34" s="15">
        <f>(AN33+AO33)*Population!$B$12*Population!$N$41+AP33*Population!$B$11*Population!$N$43</f>
        <v>133.36387313876676</v>
      </c>
      <c r="AQ34" s="5">
        <f>AP33*Population!N$43*Population!$B$12+AQ33*Population!$B$11*Population!N$44</f>
        <v>102.65469558300117</v>
      </c>
      <c r="AR34" s="5">
        <f>AQ33*Population!N$44*Population!$B$12+AR33*Population!$B$11*Population!N$45</f>
        <v>61.20884849808062</v>
      </c>
      <c r="AS34" s="5">
        <f>(AR33*Population!$B$12+AS33)*Population!N$46</f>
        <v>65.775547906726899</v>
      </c>
    </row>
    <row r="35" spans="1:45">
      <c r="A35">
        <f>A34+Population!$B$2</f>
        <v>32</v>
      </c>
      <c r="B35" s="4">
        <f t="shared" si="4"/>
        <v>1632</v>
      </c>
      <c r="C35" s="54">
        <f t="shared" ref="C35:C66" si="21">FLOOR(B35-I35-G35-SUM(AP35:AS35),1)</f>
        <v>748</v>
      </c>
      <c r="D35" s="12">
        <f>AE34*Population!$Q$32*Population!$C$2+AG34*Population!$Q$34*Population!$C$2+AI34*Population!$Q$36*Population!$C$2+AK34*Population!$Q$38*Population!$C$2+AM34*Population!$Q$40*Population!$C$2+AO33*Population!$Q$42*Population!$C$2</f>
        <v>25.115053773717243</v>
      </c>
      <c r="E35" s="12">
        <f>IF(B34&gt;Population!$B$6*Population!$B$15,Population!$B$8,IF(Population!$J$6=1,D35,Population!$B$8*Population!$B$6*0.9/B34))</f>
        <v>23.761836638153017</v>
      </c>
      <c r="F35" s="12">
        <f>IF(B34&gt;Population!$B$6*0.75,Population!$B$8,E35)</f>
        <v>23.761836638153017</v>
      </c>
      <c r="G35" s="15">
        <f>IF(Population!$J$6=1,IF(E35&gt;H34,H34,E35),IF(E35&gt;X34,X34,E35))</f>
        <v>23.761836638153017</v>
      </c>
      <c r="H35" s="15">
        <f t="shared" si="5"/>
        <v>373</v>
      </c>
      <c r="I35" s="15">
        <f t="shared" si="6"/>
        <v>483</v>
      </c>
      <c r="J35" s="12">
        <f t="shared" si="18"/>
        <v>1.2949061662198391</v>
      </c>
      <c r="K35" s="12">
        <f>AB35*Population!$P$29+AC35*Population!$P$30+AD35*Population!$P$31+AE35*Population!$P$32+AF35*Population!$P$33+AG35*Population!$P$34+AH35*Population!$P$35+AI35*Population!$P$36+AJ35*Population!$P$37+AK35*Population!$P$38+AL35*Population!$P$39+AM35*Population!$P$40+AN35*Population!$P$41+AO35*Population!$P$42+AP35*Population!$P$43+AQ35*Population!$P$44+AR35*Population!$P$45+AS35*Population!$P$46</f>
        <v>10.169087582052919</v>
      </c>
      <c r="L35" s="12">
        <f t="shared" si="7"/>
        <v>6.3704655866361981E-2</v>
      </c>
      <c r="M35" s="12">
        <f t="shared" si="8"/>
        <v>10.924520281424696</v>
      </c>
      <c r="N35" s="12">
        <f t="shared" si="19"/>
        <v>0.29595588235294118</v>
      </c>
      <c r="O35" s="12">
        <f t="shared" si="9"/>
        <v>495.6105503212608</v>
      </c>
      <c r="P35" s="12">
        <f t="shared" si="10"/>
        <v>202</v>
      </c>
      <c r="Q35" s="12">
        <f t="shared" si="11"/>
        <v>124.6947248393696</v>
      </c>
      <c r="R35" s="12">
        <f t="shared" si="12"/>
        <v>65.775547906726899</v>
      </c>
      <c r="S35" s="12">
        <f t="shared" si="13"/>
        <v>4.3354739850955094E-2</v>
      </c>
      <c r="T35" s="12">
        <f t="shared" si="20"/>
        <v>0.87585717115112494</v>
      </c>
      <c r="U35" s="12">
        <f>Population!$B$13*MIN(Z34:AA34)</f>
        <v>11.879844872962224</v>
      </c>
      <c r="V35" s="12">
        <f>X34*Population!$B$14</f>
        <v>1.9540159488211508</v>
      </c>
      <c r="W35" s="12">
        <f>AO34*T34*Population!$B$12</f>
        <v>8.9004288882965596</v>
      </c>
      <c r="X35" s="12">
        <f t="shared" si="17"/>
        <v>326.6947248393696</v>
      </c>
      <c r="Y35" s="12">
        <f>IF(B34&lt;Vehicle!$B$1*0.75,Vehicle!$B$1*0.01,0)</f>
        <v>0</v>
      </c>
      <c r="Z35" s="14">
        <f t="shared" si="15"/>
        <v>71.908369635535394</v>
      </c>
      <c r="AA35" s="13">
        <f t="shared" si="16"/>
        <v>46.771480368475522</v>
      </c>
      <c r="AB35" s="18">
        <f>(G35+Population!$B$11*AB34)*Population!N$29</f>
        <v>165.01811686863533</v>
      </c>
      <c r="AC35" s="18">
        <f>AB34*Population!$B$12*Population!$N$29+AC34*Population!$B$11*Population!$N$30+Y35*Population!$L$30</f>
        <v>162.40261901375229</v>
      </c>
      <c r="AD35" s="14">
        <f>(AC34*Population!$B$12*0.5*Population!$N$30)+(AD34*Population!$B$11*Population!N$31)+Y35*Population!$L$31</f>
        <v>78.148994129474659</v>
      </c>
      <c r="AE35" s="13">
        <f>(AC34*Population!$B$12*0.5*Population!$N$30)+(AE34*Population!$B$11*Population!N$31)+Y35*Population!$L$32</f>
        <v>78.148994129474659</v>
      </c>
      <c r="AF35" s="14">
        <f>(AD34*Population!$B$12*Population!N$31)+(AF34*Population!$B$11*Population!N$33)+Y35*Population!$L$33</f>
        <v>75.241882905806463</v>
      </c>
      <c r="AG35" s="13">
        <f>(AE34*Population!$B$12*Population!N$31)+(AG34*Population!$B$11*Population!N$33)+Y35*Population!$L$34</f>
        <v>75.002467940277953</v>
      </c>
      <c r="AH35" s="14">
        <f>(AF34*Population!$B$12*Population!N$33)+(AH34*Population!$B$11*Population!N$35)+Y35*Population!$L$35</f>
        <v>76.716063848512334</v>
      </c>
      <c r="AI35" s="13">
        <f>(AG34*Population!$B$12*Population!N$33)+(AI34*Population!$B$11*Population!N$35)+Y35*Population!$L$36</f>
        <v>75.289036444578471</v>
      </c>
      <c r="AJ35" s="14">
        <f>(AH34*Population!$B$12*Population!N$35)+(AJ34*Population!$B$11*Population!N$37)+Y35*Population!$L$37</f>
        <v>80.382693027745873</v>
      </c>
      <c r="AK35" s="13">
        <f>(AI34*Population!$B$12*Population!N$35)+(AK34*Population!$B$11*Population!N$37)+Y35*Population!$L$38</f>
        <v>76.197707652916179</v>
      </c>
      <c r="AL35" s="14">
        <f>(AJ34*Population!$B$12*Population!N$37)+(AL34*Population!$B$11*Population!N$39)+Y35*Population!$L$39</f>
        <v>83.219808349348213</v>
      </c>
      <c r="AM35" s="13">
        <f>(AK34*Population!$B$12*Population!N$37)+(AM34*Population!$B$11*Population!N$39)+Y35*Population!$L$40</f>
        <v>75.212590567530242</v>
      </c>
      <c r="AN35" s="14">
        <f>(AL34*Population!$B$12*Population!N$39)+(AN34*Population!$B$11*Population!N$41)+Y35*Population!$L$41</f>
        <v>83.042646343492109</v>
      </c>
      <c r="AO35" s="13">
        <f>(AM34*Population!$B$12*Population!N$39)+(AO34*Population!$B$11*Population!N$41)+Y35*Population!$L$42</f>
        <v>71.764402602542305</v>
      </c>
      <c r="AP35" s="15">
        <f>(AN34+AO34)*Population!$B$12*Population!$N$41+AP34*Population!$B$11*Population!$N$43</f>
        <v>135.50749385568628</v>
      </c>
      <c r="AQ35" s="5">
        <f>AP34*Population!N$43*Population!$B$12+AQ34*Population!$B$11*Population!N$44</f>
        <v>106.26566847123675</v>
      </c>
      <c r="AR35" s="5">
        <f>AQ34*Population!N$44*Population!$B$12+AR34*Population!$B$11*Population!N$45</f>
        <v>64.372844838824278</v>
      </c>
      <c r="AS35" s="5">
        <f>(AR34*Population!$B$12+AS34)*Population!N$46</f>
        <v>70.754935436758714</v>
      </c>
    </row>
    <row r="36" spans="1:45">
      <c r="A36">
        <f>A35+Population!$B$2</f>
        <v>33</v>
      </c>
      <c r="B36" s="4">
        <f t="shared" si="4"/>
        <v>1646</v>
      </c>
      <c r="C36" s="54">
        <f t="shared" si="21"/>
        <v>747</v>
      </c>
      <c r="D36" s="12">
        <f>AE35*Population!$Q$32*Population!$C$2+AG35*Population!$Q$34*Population!$C$2+AI35*Population!$Q$36*Population!$C$2+AK35*Population!$Q$38*Population!$C$2+AM35*Population!$Q$40*Population!$C$2+AO34*Population!$Q$42*Population!$C$2</f>
        <v>25.119377536157252</v>
      </c>
      <c r="E36" s="12">
        <f>IF(B35&gt;Population!$B$6*Population!$B$15,Population!$B$8,IF(Population!$J$6=1,D36,Population!$B$8*Population!$B$6*0.9/B35))</f>
        <v>23.761836638153017</v>
      </c>
      <c r="F36" s="12">
        <f>IF(B35&gt;Population!$B$6*0.75,Population!$B$8,E36)</f>
        <v>23.761836638153017</v>
      </c>
      <c r="G36" s="15">
        <f>IF(Population!$J$6=1,IF(E36&gt;H35,H35,E36),IF(E36&gt;X35,X35,E36))</f>
        <v>23.761836638153017</v>
      </c>
      <c r="H36" s="15">
        <f t="shared" ref="H36:H67" si="22">FLOOR(AG36+AI36+AK36+AM36+AO36,1)</f>
        <v>373</v>
      </c>
      <c r="I36" s="15">
        <f t="shared" ref="I36:I67" si="23">FLOOR(SUM(AB36:AE36),1)</f>
        <v>484</v>
      </c>
      <c r="J36" s="12">
        <f t="shared" si="18"/>
        <v>1.2975871313672922</v>
      </c>
      <c r="K36" s="12">
        <f>AB36*Population!$P$29+AC36*Population!$P$30+AD36*Population!$P$31+AE36*Population!$P$32+AF36*Population!$P$33+AG36*Population!$P$34+AH36*Population!$P$35+AI36*Population!$P$36+AJ36*Population!$P$37+AK36*Population!$P$38+AL36*Population!$P$39+AM36*Population!$P$40+AN36*Population!$P$41+AO36*Population!$P$42+AP36*Population!$P$43+AQ36*Population!$P$44+AR36*Population!$P$45+AS36*Population!$P$46</f>
        <v>10.621649820832229</v>
      </c>
      <c r="L36" s="12">
        <f t="shared" si="7"/>
        <v>6.3704655866361981E-2</v>
      </c>
      <c r="M36" s="12">
        <f t="shared" ref="M36:M67" si="24">(AF36+AG36+AH36+AI36+AJ36+AK36)/21*0.5</f>
        <v>10.90655973981654</v>
      </c>
      <c r="N36" s="12">
        <f t="shared" si="19"/>
        <v>0.29404617253948967</v>
      </c>
      <c r="O36" s="12">
        <f t="shared" si="9"/>
        <v>507.10382302161349</v>
      </c>
      <c r="P36" s="12">
        <f t="shared" si="10"/>
        <v>202</v>
      </c>
      <c r="Q36" s="12">
        <f t="shared" si="11"/>
        <v>125.44808848919325</v>
      </c>
      <c r="R36" s="12">
        <f t="shared" si="12"/>
        <v>70.754935436758714</v>
      </c>
      <c r="S36" s="12">
        <f t="shared" ref="S36:S67" si="25">SUM(AS36:AS36)/B36</f>
        <v>4.6119033276082501E-2</v>
      </c>
      <c r="T36" s="12">
        <f t="shared" si="20"/>
        <v>0.87787691283966018</v>
      </c>
      <c r="U36" s="12">
        <f>Population!$B$13*MIN(Z35:AA35)</f>
        <v>11.692870092118881</v>
      </c>
      <c r="V36" s="12">
        <f>X35*Population!$B$14</f>
        <v>1.9601683490362176</v>
      </c>
      <c r="W36" s="12">
        <f>AO35*T35*Population!$B$12</f>
        <v>8.9793380932590185</v>
      </c>
      <c r="X36" s="12">
        <f t="shared" si="17"/>
        <v>327.44808848919325</v>
      </c>
      <c r="Y36" s="12">
        <f>IF(B35&lt;Vehicle!$B$1*0.75,Vehicle!$B$1*0.01,0)</f>
        <v>0</v>
      </c>
      <c r="Z36" s="14">
        <f t="shared" ref="Z36:Z67" si="26">(AF36+AH36+AJ36+AL36+AN36)-X36</f>
        <v>69.775491755883706</v>
      </c>
      <c r="AA36" s="13">
        <f t="shared" ref="AA36:AA67" si="27">(AG36+AI36+AK36+AM36+AO36)-X36</f>
        <v>46.294718018083074</v>
      </c>
      <c r="AB36" s="18">
        <f>(G36+Population!$B$11*AB35)*Population!N$29</f>
        <v>165.13886320092365</v>
      </c>
      <c r="AC36" s="18">
        <f>AB35*Population!$B$12*Population!$N$29+AC35*Population!$B$11*Population!$N$30+Y36*Population!$L$30</f>
        <v>162.73537000857596</v>
      </c>
      <c r="AD36" s="14">
        <f>(AC35*Population!$B$12*0.5*Population!$N$30)+(AD35*Population!$B$11*Population!N$31)+Y36*Population!$L$31</f>
        <v>78.518592577236106</v>
      </c>
      <c r="AE36" s="13">
        <f>(AC35*Population!$B$12*0.5*Population!$N$30)+(AE35*Population!$B$11*Population!N$31)+Y36*Population!$L$32</f>
        <v>78.518592577236106</v>
      </c>
      <c r="AF36" s="14">
        <f>(AD35*Population!$B$12*Population!N$31)+(AF35*Population!$B$11*Population!N$33)+Y36*Population!$L$33</f>
        <v>75.585083212350384</v>
      </c>
      <c r="AG36" s="13">
        <f>(AE35*Population!$B$12*Population!N$31)+(AG35*Population!$B$11*Population!N$33)+Y36*Population!$L$34</f>
        <v>75.38006595257923</v>
      </c>
      <c r="AH36" s="14">
        <f>(AF35*Population!$B$12*Population!N$33)+(AH35*Population!$B$11*Population!N$35)+Y36*Population!$L$35</f>
        <v>76.368970203848065</v>
      </c>
      <c r="AI36" s="13">
        <f>(AG35*Population!$B$12*Population!N$33)+(AI35*Population!$B$11*Population!N$35)+Y36*Population!$L$36</f>
        <v>75.113982793708601</v>
      </c>
      <c r="AJ36" s="14">
        <f>(AH35*Population!$B$12*Population!N$35)+(AJ35*Population!$B$11*Population!N$37)+Y36*Population!$L$37</f>
        <v>79.705559792674123</v>
      </c>
      <c r="AK36" s="13">
        <f>(AI35*Population!$B$12*Population!N$35)+(AK35*Population!$B$11*Population!N$37)+Y36*Population!$L$38</f>
        <v>75.92184711713432</v>
      </c>
      <c r="AL36" s="14">
        <f>(AJ35*Population!$B$12*Population!N$37)+(AL35*Population!$B$11*Population!N$39)+Y36*Population!$L$39</f>
        <v>82.655502308719633</v>
      </c>
      <c r="AM36" s="13">
        <f>(AK35*Population!$B$12*Population!N$37)+(AM35*Population!$B$11*Population!N$39)+Y36*Population!$L$40</f>
        <v>75.208643202295164</v>
      </c>
      <c r="AN36" s="14">
        <f>(AL35*Population!$B$12*Population!N$39)+(AN35*Population!$B$11*Population!N$41)+Y36*Population!$L$41</f>
        <v>82.908464727484727</v>
      </c>
      <c r="AO36" s="13">
        <f>(AM35*Population!$B$12*Population!N$39)+(AO35*Population!$B$11*Population!N$41)+Y36*Population!$L$42</f>
        <v>72.118267441559013</v>
      </c>
      <c r="AP36" s="15">
        <f>(AN35+AO35)*Population!$B$12*Population!$N$41+AP35*Population!$B$11*Population!$N$43</f>
        <v>137.38002950906477</v>
      </c>
      <c r="AQ36" s="5">
        <f>AP35*Population!N$43*Population!$B$12+AQ35*Population!$B$11*Population!N$44</f>
        <v>109.64235982487918</v>
      </c>
      <c r="AR36" s="5">
        <f>AQ35*Population!N$44*Population!$B$12+AR35*Population!$B$11*Population!N$45</f>
        <v>67.459944954317365</v>
      </c>
      <c r="AS36" s="5">
        <f>(AR35*Population!$B$12+AS35)*Population!N$46</f>
        <v>75.911928772431793</v>
      </c>
    </row>
    <row r="37" spans="1:45">
      <c r="A37">
        <f>A36+Population!$B$2</f>
        <v>34</v>
      </c>
      <c r="B37" s="4">
        <f t="shared" si="4"/>
        <v>1659</v>
      </c>
      <c r="C37" s="54">
        <f t="shared" si="21"/>
        <v>746</v>
      </c>
      <c r="D37" s="12">
        <f>AE36*Population!$Q$32*Population!$C$2+AG36*Population!$Q$34*Population!$C$2+AI36*Population!$Q$36*Population!$C$2+AK36*Population!$Q$38*Population!$C$2+AM36*Population!$Q$40*Population!$C$2+AO35*Population!$Q$42*Population!$C$2</f>
        <v>25.129040275248268</v>
      </c>
      <c r="E37" s="12">
        <f>IF(B36&gt;Population!$B$6*Population!$B$15,Population!$B$8,IF(Population!$J$6=1,D37,Population!$B$8*Population!$B$6*0.9/B36))</f>
        <v>23.761836638153017</v>
      </c>
      <c r="F37" s="12">
        <f>IF(B36&gt;Population!$B$6*0.75,Population!$B$8,E37)</f>
        <v>23.761836638153017</v>
      </c>
      <c r="G37" s="15">
        <f>IF(Population!$J$6=1,IF(E37&gt;H36,H36,E37),IF(E37&gt;X36,X36,E37))</f>
        <v>23.761836638153017</v>
      </c>
      <c r="H37" s="15">
        <f t="shared" si="22"/>
        <v>374</v>
      </c>
      <c r="I37" s="15">
        <f t="shared" si="23"/>
        <v>485</v>
      </c>
      <c r="J37" s="12">
        <f t="shared" si="18"/>
        <v>1.2967914438502675</v>
      </c>
      <c r="K37" s="12">
        <f>AB37*Population!$P$29+AC37*Population!$P$30+AD37*Population!$P$31+AE37*Population!$P$32+AF37*Population!$P$33+AG37*Population!$P$34+AH37*Population!$P$35+AI37*Population!$P$36+AJ37*Population!$P$37+AK37*Population!$P$38+AL37*Population!$P$39+AM37*Population!$P$40+AN37*Population!$P$41+AO37*Population!$P$42+AP37*Population!$P$43+AQ37*Population!$P$44+AR37*Population!$P$45+AS37*Population!$P$46</f>
        <v>11.073919708001405</v>
      </c>
      <c r="L37" s="12">
        <f t="shared" si="7"/>
        <v>6.353432256190647E-2</v>
      </c>
      <c r="M37" s="12">
        <f t="shared" si="24"/>
        <v>10.894397408800366</v>
      </c>
      <c r="N37" s="12">
        <f t="shared" si="19"/>
        <v>0.2923447860156721</v>
      </c>
      <c r="O37" s="12">
        <f t="shared" si="9"/>
        <v>517.97468735471114</v>
      </c>
      <c r="P37" s="12">
        <f t="shared" si="10"/>
        <v>203</v>
      </c>
      <c r="Q37" s="12">
        <f t="shared" si="11"/>
        <v>125.01265632264443</v>
      </c>
      <c r="R37" s="12">
        <f t="shared" si="12"/>
        <v>75.911928772431793</v>
      </c>
      <c r="S37" s="12">
        <f t="shared" si="25"/>
        <v>4.8961497929145351E-2</v>
      </c>
      <c r="T37" s="12">
        <f t="shared" si="20"/>
        <v>0.87703918802846104</v>
      </c>
      <c r="U37" s="12">
        <f>Population!$B$13*MIN(Z36:AA36)</f>
        <v>11.573679504520769</v>
      </c>
      <c r="V37" s="12">
        <f>X36*Population!$B$14</f>
        <v>1.9646885309351596</v>
      </c>
      <c r="W37" s="12">
        <f>AO36*T36*Population!$B$12</f>
        <v>9.0444231401344002</v>
      </c>
      <c r="X37" s="12">
        <f t="shared" si="17"/>
        <v>328.01265632264443</v>
      </c>
      <c r="Y37" s="12">
        <f>IF(B36&lt;Vehicle!$B$1*0.75,Vehicle!$B$1*0.01,0)</f>
        <v>0</v>
      </c>
      <c r="Z37" s="14">
        <f t="shared" si="26"/>
        <v>67.906271692871428</v>
      </c>
      <c r="AA37" s="13">
        <f t="shared" si="27"/>
        <v>46.008879947119624</v>
      </c>
      <c r="AB37" s="18">
        <f>(G37+Population!$B$11*AB36)*Population!N$29</f>
        <v>165.24231803744715</v>
      </c>
      <c r="AC37" s="18">
        <f>AB36*Population!$B$12*Population!$N$29+AC36*Population!$B$11*Population!$N$30+Y37*Population!$L$30</f>
        <v>163.03776344634403</v>
      </c>
      <c r="AD37" s="14">
        <f>(AC36*Population!$B$12*0.5*Population!$N$30)+(AD36*Population!$B$11*Population!N$31)+Y37*Population!$L$31</f>
        <v>78.858851918031718</v>
      </c>
      <c r="AE37" s="13">
        <f>(AC36*Population!$B$12*0.5*Population!$N$30)+(AE36*Population!$B$11*Population!N$31)+Y37*Population!$L$32</f>
        <v>78.858851918031718</v>
      </c>
      <c r="AF37" s="14">
        <f>(AD36*Population!$B$12*Population!N$31)+(AF36*Population!$B$11*Population!N$33)+Y37*Population!$L$33</f>
        <v>75.931724018114878</v>
      </c>
      <c r="AG37" s="13">
        <f>(AE36*Population!$B$12*Population!N$31)+(AG36*Population!$B$11*Population!N$33)+Y37*Population!$L$34</f>
        <v>75.756162408124084</v>
      </c>
      <c r="AH37" s="14">
        <f>(AF36*Population!$B$12*Population!N$33)+(AH36*Population!$B$11*Population!N$35)+Y37*Population!$L$35</f>
        <v>76.121014473484166</v>
      </c>
      <c r="AI37" s="13">
        <f>(AG36*Population!$B$12*Population!N$33)+(AI36*Population!$B$11*Population!N$35)+Y37*Population!$L$36</f>
        <v>75.018116061456354</v>
      </c>
      <c r="AJ37" s="14">
        <f>(AH36*Population!$B$12*Population!N$35)+(AJ36*Population!$B$11*Population!N$37)+Y37*Population!$L$37</f>
        <v>79.076784641184261</v>
      </c>
      <c r="AK37" s="13">
        <f>(AI36*Population!$B$12*Population!N$35)+(AK36*Population!$B$11*Population!N$37)+Y37*Population!$L$38</f>
        <v>75.660889567251601</v>
      </c>
      <c r="AL37" s="14">
        <f>(AJ36*Population!$B$12*Population!N$37)+(AL36*Population!$B$11*Population!N$39)+Y37*Population!$L$39</f>
        <v>82.07619251194194</v>
      </c>
      <c r="AM37" s="13">
        <f>(AK36*Population!$B$12*Population!N$37)+(AM36*Population!$B$11*Population!N$39)+Y37*Population!$L$40</f>
        <v>75.165933259249996</v>
      </c>
      <c r="AN37" s="14">
        <f>(AL36*Population!$B$12*Population!N$39)+(AN36*Population!$B$11*Population!N$41)+Y37*Population!$L$41</f>
        <v>82.713212370790657</v>
      </c>
      <c r="AO37" s="13">
        <f>(AM36*Population!$B$12*Population!N$39)+(AO36*Population!$B$11*Population!N$41)+Y37*Population!$L$42</f>
        <v>72.420434973682006</v>
      </c>
      <c r="AP37" s="15">
        <f>(AN36+AO36)*Population!$B$12*Population!$N$41+AP36*Population!$B$11*Population!$N$43</f>
        <v>139.00474665914624</v>
      </c>
      <c r="AQ37" s="5">
        <f>AP36*Population!N$43*Population!$B$12+AQ36*Population!$B$11*Population!N$44</f>
        <v>112.7812486560024</v>
      </c>
      <c r="AR37" s="5">
        <f>AQ36*Population!N$44*Population!$B$12+AR36*Population!$B$11*Population!N$45</f>
        <v>70.451237703928612</v>
      </c>
      <c r="AS37" s="5">
        <f>(AR36*Population!$B$12+AS36)*Population!N$46</f>
        <v>81.227125064452139</v>
      </c>
    </row>
    <row r="38" spans="1:45">
      <c r="A38">
        <f>A37+Population!$B$2</f>
        <v>35</v>
      </c>
      <c r="B38" s="4">
        <f t="shared" si="4"/>
        <v>1672</v>
      </c>
      <c r="C38" s="54">
        <f t="shared" si="21"/>
        <v>746</v>
      </c>
      <c r="D38" s="12">
        <f>AE37*Population!$Q$32*Population!$C$2+AG37*Population!$Q$34*Population!$C$2+AI37*Population!$Q$36*Population!$C$2+AK37*Population!$Q$38*Population!$C$2+AM37*Population!$Q$40*Population!$C$2+AO36*Population!$Q$42*Population!$C$2</f>
        <v>25.143842830581061</v>
      </c>
      <c r="E38" s="12">
        <f>IF(B37&gt;Population!$B$6*Population!$B$15,Population!$B$8,IF(Population!$J$6=1,D38,Population!$B$8*Population!$B$6*0.9/B37))</f>
        <v>23.761836638153017</v>
      </c>
      <c r="F38" s="12">
        <f>IF(B37&gt;Population!$B$6*0.75,Population!$B$8,E38)</f>
        <v>23.761836638153017</v>
      </c>
      <c r="G38" s="15">
        <f>IF(Population!$J$6=1,IF(E38&gt;H37,H37,E38),IF(E38&gt;X37,X37,E38))</f>
        <v>23.761836638153017</v>
      </c>
      <c r="H38" s="15">
        <f t="shared" si="22"/>
        <v>374</v>
      </c>
      <c r="I38" s="15">
        <f t="shared" si="23"/>
        <v>486</v>
      </c>
      <c r="J38" s="12">
        <f t="shared" si="18"/>
        <v>1.2994652406417113</v>
      </c>
      <c r="K38" s="12">
        <f>AB38*Population!$P$29+AC38*Population!$P$30+AD38*Population!$P$31+AE38*Population!$P$32+AF38*Population!$P$33+AG38*Population!$P$34+AH38*Population!$P$35+AI38*Population!$P$36+AJ38*Population!$P$37+AK38*Population!$P$38+AL38*Population!$P$39+AM38*Population!$P$40+AN38*Population!$P$41+AO38*Population!$P$42+AP38*Population!$P$43+AQ38*Population!$P$44+AR38*Population!$P$45+AS38*Population!$P$46</f>
        <v>11.524215853837653</v>
      </c>
      <c r="L38" s="12">
        <f t="shared" si="7"/>
        <v>6.353432256190647E-2</v>
      </c>
      <c r="M38" s="12">
        <f t="shared" si="24"/>
        <v>10.887608044325031</v>
      </c>
      <c r="N38" s="12">
        <f t="shared" si="19"/>
        <v>0.29066985645933013</v>
      </c>
      <c r="O38" s="12">
        <f t="shared" si="9"/>
        <v>529.05370196730473</v>
      </c>
      <c r="P38" s="12">
        <f t="shared" si="10"/>
        <v>203</v>
      </c>
      <c r="Q38" s="12">
        <f t="shared" si="11"/>
        <v>125.47314901634763</v>
      </c>
      <c r="R38" s="12">
        <f t="shared" si="12"/>
        <v>81.227125064452139</v>
      </c>
      <c r="S38" s="12">
        <f t="shared" si="25"/>
        <v>5.1841828103084263E-2</v>
      </c>
      <c r="T38" s="12">
        <f t="shared" si="20"/>
        <v>0.87827045191536801</v>
      </c>
      <c r="U38" s="12">
        <f>Population!$B$13*MIN(Z37:AA37)</f>
        <v>11.502219986779906</v>
      </c>
      <c r="V38" s="12">
        <f>X37*Population!$B$14</f>
        <v>1.9680759379358665</v>
      </c>
      <c r="W38" s="12">
        <f>AO37*T37*Population!$B$12</f>
        <v>9.0736513551408606</v>
      </c>
      <c r="X38" s="12">
        <f t="shared" si="17"/>
        <v>328.47314901634763</v>
      </c>
      <c r="Y38" s="12">
        <f>IF(B37&lt;Vehicle!$B$1*0.75,Vehicle!$B$1*0.01,0)</f>
        <v>0</v>
      </c>
      <c r="Z38" s="14">
        <f t="shared" si="26"/>
        <v>66.220368695806144</v>
      </c>
      <c r="AA38" s="13">
        <f t="shared" si="27"/>
        <v>45.832423783344439</v>
      </c>
      <c r="AB38" s="18">
        <f>(G38+Population!$B$11*AB37)*Population!N$29</f>
        <v>165.33095760932704</v>
      </c>
      <c r="AC38" s="18">
        <f>AB37*Population!$B$12*Population!$N$29+AC37*Population!$B$11*Population!$N$30+Y38*Population!$L$30</f>
        <v>163.31167276481935</v>
      </c>
      <c r="AD38" s="14">
        <f>(AC37*Population!$B$12*0.5*Population!$N$30)+(AD37*Population!$B$11*Population!N$31)+Y38*Population!$L$31</f>
        <v>79.171819509672474</v>
      </c>
      <c r="AE38" s="13">
        <f>(AC37*Population!$B$12*0.5*Population!$N$30)+(AE37*Population!$B$11*Population!N$31)+Y38*Population!$L$32</f>
        <v>79.171819509672474</v>
      </c>
      <c r="AF38" s="14">
        <f>(AD37*Population!$B$12*Population!N$31)+(AF37*Population!$B$11*Population!N$33)+Y38*Population!$L$33</f>
        <v>76.277123706129643</v>
      </c>
      <c r="AG38" s="13">
        <f>(AE37*Population!$B$12*Population!N$31)+(AG37*Population!$B$11*Population!N$33)+Y38*Population!$L$34</f>
        <v>76.126785734892664</v>
      </c>
      <c r="AH38" s="14">
        <f>(AF37*Population!$B$12*Population!N$33)+(AH37*Population!$B$11*Population!N$35)+Y38*Population!$L$35</f>
        <v>75.958361977042301</v>
      </c>
      <c r="AI38" s="13">
        <f>(AG37*Population!$B$12*Population!N$33)+(AI37*Population!$B$11*Population!N$35)+Y38*Population!$L$36</f>
        <v>74.989779208151333</v>
      </c>
      <c r="AJ38" s="14">
        <f>(AH37*Population!$B$12*Population!N$35)+(AJ37*Population!$B$11*Population!N$37)+Y38*Population!$L$37</f>
        <v>78.503515059104885</v>
      </c>
      <c r="AK38" s="13">
        <f>(AI37*Population!$B$12*Population!N$35)+(AK37*Population!$B$11*Population!N$37)+Y38*Population!$L$38</f>
        <v>75.423972176330466</v>
      </c>
      <c r="AL38" s="14">
        <f>(AJ37*Population!$B$12*Population!N$37)+(AL37*Population!$B$11*Population!N$39)+Y38*Population!$L$39</f>
        <v>81.490942078369613</v>
      </c>
      <c r="AM38" s="13">
        <f>(AK37*Population!$B$12*Population!N$37)+(AM37*Population!$B$11*Population!N$39)+Y38*Population!$L$40</f>
        <v>75.09218695194798</v>
      </c>
      <c r="AN38" s="14">
        <f>(AL37*Population!$B$12*Population!N$39)+(AN37*Population!$B$11*Population!N$41)+Y38*Population!$L$41</f>
        <v>82.463574891507349</v>
      </c>
      <c r="AO38" s="13">
        <f>(AM37*Population!$B$12*Population!N$39)+(AO37*Population!$B$11*Population!N$41)+Y38*Population!$L$42</f>
        <v>72.672848728369644</v>
      </c>
      <c r="AP38" s="15">
        <f>(AN37+AO37)*Population!$B$12*Population!$N$41+AP37*Population!$B$11*Population!$N$43</f>
        <v>140.40250917382514</v>
      </c>
      <c r="AQ38" s="5">
        <f>AP37*Population!N$43*Population!$B$12+AQ37*Population!$B$11*Population!N$44</f>
        <v>115.68263855219226</v>
      </c>
      <c r="AR38" s="5">
        <f>AQ37*Population!N$44*Population!$B$12+AR37*Population!$B$11*Population!N$45</f>
        <v>73.330833093429035</v>
      </c>
      <c r="AS38" s="5">
        <f>(AR37*Population!$B$12+AS37)*Population!N$46</f>
        <v>86.679536588356882</v>
      </c>
    </row>
    <row r="39" spans="1:45">
      <c r="A39">
        <f>A38+Population!$B$2</f>
        <v>36</v>
      </c>
      <c r="B39" s="4">
        <f t="shared" si="4"/>
        <v>1684</v>
      </c>
      <c r="C39" s="54">
        <f t="shared" si="21"/>
        <v>744</v>
      </c>
      <c r="D39" s="12">
        <f>AE38*Population!$Q$32*Population!$C$2+AG38*Population!$Q$34*Population!$C$2+AI38*Population!$Q$36*Population!$C$2+AK38*Population!$Q$38*Population!$C$2+AM38*Population!$Q$40*Population!$C$2+AO37*Population!$Q$42*Population!$C$2</f>
        <v>25.163495136464295</v>
      </c>
      <c r="E39" s="12">
        <f>IF(B38&gt;Population!$B$6*Population!$B$15,Population!$B$8,IF(Population!$J$6=1,D39,Population!$B$8*Population!$B$6*0.9/B38))</f>
        <v>23.761836638153017</v>
      </c>
      <c r="F39" s="12">
        <f>IF(B38&gt;Population!$B$6*0.75,Population!$B$8,E39)</f>
        <v>23.761836638153017</v>
      </c>
      <c r="G39" s="15">
        <f>IF(Population!$J$6=1,IF(E39&gt;H38,H38,E39),IF(E39&gt;X38,X38,E39))</f>
        <v>23.761836638153017</v>
      </c>
      <c r="H39" s="15">
        <f t="shared" si="22"/>
        <v>374</v>
      </c>
      <c r="I39" s="15">
        <f t="shared" si="23"/>
        <v>487</v>
      </c>
      <c r="J39" s="12">
        <f t="shared" si="18"/>
        <v>1.3021390374331552</v>
      </c>
      <c r="K39" s="12">
        <f>AB39*Population!$P$29+AC39*Population!$P$30+AD39*Population!$P$31+AE39*Population!$P$32+AF39*Population!$P$33+AG39*Population!$P$34+AH39*Population!$P$35+AI39*Population!$P$36+AJ39*Population!$P$37+AK39*Population!$P$38+AL39*Population!$P$39+AM39*Population!$P$40+AN39*Population!$P$41+AO39*Population!$P$42+AP39*Population!$P$43+AQ39*Population!$P$44+AR39*Population!$P$45+AS39*Population!$P$46</f>
        <v>11.970957179207009</v>
      </c>
      <c r="L39" s="12">
        <f t="shared" si="7"/>
        <v>6.353432256190647E-2</v>
      </c>
      <c r="M39" s="12">
        <f t="shared" si="24"/>
        <v>10.885725650262316</v>
      </c>
      <c r="N39" s="12">
        <f t="shared" si="19"/>
        <v>0.28919239904988125</v>
      </c>
      <c r="O39" s="12">
        <f t="shared" si="9"/>
        <v>539.3152866337266</v>
      </c>
      <c r="P39" s="12">
        <f t="shared" si="10"/>
        <v>203</v>
      </c>
      <c r="Q39" s="12">
        <f t="shared" si="11"/>
        <v>125.8423566831367</v>
      </c>
      <c r="R39" s="12">
        <f t="shared" si="12"/>
        <v>86.679536588356882</v>
      </c>
      <c r="S39" s="12">
        <f t="shared" si="25"/>
        <v>5.4778551425597274E-2</v>
      </c>
      <c r="T39" s="12">
        <f t="shared" si="20"/>
        <v>0.87925763819020508</v>
      </c>
      <c r="U39" s="12">
        <f>Population!$B$13*MIN(Z38:AA38)</f>
        <v>11.45810594583611</v>
      </c>
      <c r="V39" s="12">
        <f>X38*Population!$B$14</f>
        <v>1.9708388940980859</v>
      </c>
      <c r="W39" s="12">
        <f>AO38*T38*Population!$B$12</f>
        <v>9.1180593849489124</v>
      </c>
      <c r="X39" s="12">
        <f t="shared" si="17"/>
        <v>328.8423566831367</v>
      </c>
      <c r="Y39" s="12">
        <f>IF(B38&lt;Vehicle!$B$1*0.75,Vehicle!$B$1*0.01,0)</f>
        <v>0</v>
      </c>
      <c r="Z39" s="14">
        <f t="shared" si="26"/>
        <v>64.708698587628476</v>
      </c>
      <c r="AA39" s="13">
        <f t="shared" si="27"/>
        <v>45.755742862424029</v>
      </c>
      <c r="AB39" s="18">
        <f>(G39+Population!$B$11*AB38)*Population!N$29</f>
        <v>165.40690353865307</v>
      </c>
      <c r="AC39" s="18">
        <f>AB38*Population!$B$12*Population!$N$29+AC38*Population!$B$11*Population!$N$30+Y39*Population!$L$30</f>
        <v>163.55905701017446</v>
      </c>
      <c r="AD39" s="14">
        <f>(AC38*Population!$B$12*0.5*Population!$N$30)+(AD38*Population!$B$11*Population!N$31)+Y39*Population!$L$31</f>
        <v>79.459382344757458</v>
      </c>
      <c r="AE39" s="13">
        <f>(AC38*Population!$B$12*0.5*Population!$N$30)+(AE38*Population!$B$11*Population!N$31)+Y39*Population!$L$32</f>
        <v>79.459382344757458</v>
      </c>
      <c r="AF39" s="14">
        <f>(AD38*Population!$B$12*Population!N$31)+(AF38*Population!$B$11*Population!N$33)+Y39*Population!$L$33</f>
        <v>76.617565487015128</v>
      </c>
      <c r="AG39" s="13">
        <f>(AE38*Population!$B$12*Population!N$31)+(AG38*Population!$B$11*Population!N$33)+Y39*Population!$L$34</f>
        <v>76.488827173457679</v>
      </c>
      <c r="AH39" s="14">
        <f>(AF38*Population!$B$12*Population!N$33)+(AH38*Population!$B$11*Population!N$35)+Y39*Population!$L$35</f>
        <v>75.868509019930855</v>
      </c>
      <c r="AI39" s="13">
        <f>(AG38*Population!$B$12*Population!N$33)+(AI38*Population!$B$11*Population!N$35)+Y39*Population!$L$36</f>
        <v>75.018432842931063</v>
      </c>
      <c r="AJ39" s="14">
        <f>(AH38*Population!$B$12*Population!N$35)+(AJ38*Population!$B$11*Population!N$37)+Y39*Population!$L$37</f>
        <v>77.989893111884982</v>
      </c>
      <c r="AK39" s="13">
        <f>(AI38*Population!$B$12*Population!N$35)+(AK38*Population!$B$11*Population!N$37)+Y39*Population!$L$38</f>
        <v>75.217249675797603</v>
      </c>
      <c r="AL39" s="14">
        <f>(AJ38*Population!$B$12*Population!N$37)+(AL38*Population!$B$11*Population!N$39)+Y39*Population!$L$39</f>
        <v>80.908523589666615</v>
      </c>
      <c r="AM39" s="13">
        <f>(AK38*Population!$B$12*Population!N$37)+(AM38*Population!$B$11*Population!N$39)+Y39*Population!$L$40</f>
        <v>74.995316838250488</v>
      </c>
      <c r="AN39" s="14">
        <f>(AL38*Population!$B$12*Population!N$39)+(AN38*Population!$B$11*Population!N$41)+Y39*Population!$L$41</f>
        <v>82.166564062267597</v>
      </c>
      <c r="AO39" s="13">
        <f>(AM38*Population!$B$12*Population!N$39)+(AO38*Population!$B$11*Population!N$41)+Y39*Population!$L$42</f>
        <v>72.878273015123895</v>
      </c>
      <c r="AP39" s="15">
        <f>(AN38+AO38)*Population!$B$12*Population!$N$41+AP38*Population!$B$11*Population!$N$43</f>
        <v>141.59230108291663</v>
      </c>
      <c r="AQ39" s="5">
        <f>AP38*Population!N$43*Population!$B$12+AQ38*Population!$B$11*Population!N$44</f>
        <v>118.34974678834975</v>
      </c>
      <c r="AR39" s="5">
        <f>AQ38*Population!N$44*Population!$B$12+AR38*Population!$B$11*Population!N$45</f>
        <v>76.085842265140414</v>
      </c>
      <c r="AS39" s="5">
        <f>(AR38*Population!$B$12+AS38)*Population!N$46</f>
        <v>92.247080600705814</v>
      </c>
    </row>
    <row r="40" spans="1:45">
      <c r="A40">
        <f>A39+Population!$B$2</f>
        <v>37</v>
      </c>
      <c r="B40" s="4">
        <f t="shared" si="4"/>
        <v>1696</v>
      </c>
      <c r="C40" s="54">
        <f t="shared" si="21"/>
        <v>744</v>
      </c>
      <c r="D40" s="12">
        <f>AE39*Population!$Q$32*Population!$C$2+AG39*Population!$Q$34*Population!$C$2+AI39*Population!$Q$36*Population!$C$2+AK39*Population!$Q$38*Population!$C$2+AM39*Population!$Q$40*Population!$C$2+AO38*Population!$Q$42*Population!$C$2</f>
        <v>25.18764624248147</v>
      </c>
      <c r="E40" s="12">
        <f>IF(B39&gt;Population!$B$6*Population!$B$15,Population!$B$8,IF(Population!$J$6=1,D40,Population!$B$8*Population!$B$6*0.9/B39))</f>
        <v>23.761836638153017</v>
      </c>
      <c r="F40" s="12">
        <f>IF(B39&gt;Population!$B$6*0.75,Population!$B$8,E40)</f>
        <v>23.761836638153017</v>
      </c>
      <c r="G40" s="15">
        <f>IF(Population!$J$6=1,IF(E40&gt;H39,H39,E40),IF(E40&gt;X39,X39,E40))</f>
        <v>23.761836638153017</v>
      </c>
      <c r="H40" s="15">
        <f t="shared" si="22"/>
        <v>374</v>
      </c>
      <c r="I40" s="15">
        <f t="shared" si="23"/>
        <v>488</v>
      </c>
      <c r="J40" s="12">
        <f t="shared" si="18"/>
        <v>1.304812834224599</v>
      </c>
      <c r="K40" s="12">
        <f>AB40*Population!$P$29+AC40*Population!$P$30+AD40*Population!$P$31+AE40*Population!$P$32+AF40*Population!$P$33+AG40*Population!$P$34+AH40*Population!$P$35+AI40*Population!$P$36+AJ40*Population!$P$37+AK40*Population!$P$38+AL40*Population!$P$39+AM40*Population!$P$40+AN40*Population!$P$41+AO40*Population!$P$42+AP40*Population!$P$43+AQ40*Population!$P$44+AR40*Population!$P$45+AS40*Population!$P$46</f>
        <v>12.412677026289419</v>
      </c>
      <c r="L40" s="12">
        <f t="shared" si="7"/>
        <v>6.353432256190647E-2</v>
      </c>
      <c r="M40" s="12">
        <f t="shared" si="24"/>
        <v>10.888262836623184</v>
      </c>
      <c r="N40" s="12">
        <f t="shared" si="19"/>
        <v>0.28773584905660377</v>
      </c>
      <c r="O40" s="12">
        <f t="shared" si="9"/>
        <v>549.69174582747189</v>
      </c>
      <c r="P40" s="12">
        <f t="shared" si="10"/>
        <v>204</v>
      </c>
      <c r="Q40" s="12">
        <f t="shared" si="11"/>
        <v>125.15412708626405</v>
      </c>
      <c r="R40" s="12">
        <f t="shared" si="12"/>
        <v>92.247080600705814</v>
      </c>
      <c r="S40" s="12">
        <f t="shared" si="25"/>
        <v>5.7728208569340682E-2</v>
      </c>
      <c r="T40" s="12">
        <f t="shared" si="20"/>
        <v>0.88009124889375412</v>
      </c>
      <c r="U40" s="12">
        <f>Population!$B$13*MIN(Z39:AA39)</f>
        <v>11.438935715606007</v>
      </c>
      <c r="V40" s="12">
        <f>X39*Population!$B$14</f>
        <v>1.9730541400988202</v>
      </c>
      <c r="W40" s="12">
        <f>AO39*T39*Population!$B$12</f>
        <v>9.1541111723798281</v>
      </c>
      <c r="X40" s="12">
        <f t="shared" si="17"/>
        <v>329.15412708626405</v>
      </c>
      <c r="Y40" s="12">
        <f>IF(B39&lt;Vehicle!$B$1*0.75,Vehicle!$B$1*0.01,0)</f>
        <v>0</v>
      </c>
      <c r="Z40" s="14">
        <f t="shared" si="26"/>
        <v>63.34037838622362</v>
      </c>
      <c r="AA40" s="13">
        <f t="shared" si="27"/>
        <v>45.748038921538466</v>
      </c>
      <c r="AB40" s="18">
        <f>(G40+Population!$B$11*AB39)*Population!N$29</f>
        <v>165.47197362032054</v>
      </c>
      <c r="AC40" s="18">
        <f>AB39*Population!$B$12*Population!$N$29+AC39*Population!$B$11*Population!$N$30+Y40*Population!$L$30</f>
        <v>163.78189795284277</v>
      </c>
      <c r="AD40" s="14">
        <f>(AC39*Population!$B$12*0.5*Population!$N$30)+(AD39*Population!$B$11*Population!N$31)+Y40*Population!$L$31</f>
        <v>79.723296204495867</v>
      </c>
      <c r="AE40" s="13">
        <f>(AC39*Population!$B$12*0.5*Population!$N$30)+(AE39*Population!$B$11*Population!N$31)+Y40*Population!$L$32</f>
        <v>79.723296204495867</v>
      </c>
      <c r="AF40" s="14">
        <f>(AD39*Population!$B$12*Population!N$31)+(AF39*Population!$B$11*Population!N$33)+Y40*Population!$L$33</f>
        <v>76.950135890859855</v>
      </c>
      <c r="AG40" s="13">
        <f>(AE39*Population!$B$12*Population!N$31)+(AG39*Population!$B$11*Population!N$33)+Y40*Population!$L$34</f>
        <v>76.839893925764471</v>
      </c>
      <c r="AH40" s="14">
        <f>(AF39*Population!$B$12*Population!N$33)+(AH39*Population!$B$11*Population!N$35)+Y40*Population!$L$35</f>
        <v>75.840228263254517</v>
      </c>
      <c r="AI40" s="13">
        <f>(AG39*Population!$B$12*Population!N$33)+(AI39*Population!$B$11*Population!N$35)+Y40*Population!$L$36</f>
        <v>75.09461686177103</v>
      </c>
      <c r="AJ40" s="14">
        <f>(AH39*Population!$B$12*Population!N$35)+(AJ39*Population!$B$11*Population!N$37)+Y40*Population!$L$37</f>
        <v>77.537679512181938</v>
      </c>
      <c r="AK40" s="13">
        <f>(AI39*Population!$B$12*Population!N$35)+(AK39*Population!$B$11*Population!N$37)+Y40*Population!$L$38</f>
        <v>75.044484684341867</v>
      </c>
      <c r="AL40" s="14">
        <f>(AJ39*Population!$B$12*Population!N$37)+(AL39*Population!$B$11*Population!N$39)+Y40*Population!$L$39</f>
        <v>80.337032551908123</v>
      </c>
      <c r="AM40" s="13">
        <f>(AK39*Population!$B$12*Population!N$37)+(AM39*Population!$B$11*Population!N$39)+Y40*Population!$L$40</f>
        <v>74.882969647992326</v>
      </c>
      <c r="AN40" s="14">
        <f>(AL39*Population!$B$12*Population!N$39)+(AN39*Population!$B$11*Population!N$41)+Y40*Population!$L$41</f>
        <v>81.829429254283241</v>
      </c>
      <c r="AO40" s="13">
        <f>(AM39*Population!$B$12*Population!N$39)+(AO39*Population!$B$11*Population!N$41)+Y40*Population!$L$42</f>
        <v>73.040200887932883</v>
      </c>
      <c r="AP40" s="15">
        <f>(AN39+AO39)*Population!$B$12*Population!$N$41+AP39*Population!$B$11*Population!$N$43</f>
        <v>142.59167034151369</v>
      </c>
      <c r="AQ40" s="5">
        <f>AP39*Population!N$43*Population!$B$12+AQ39*Population!$B$11*Population!N$44</f>
        <v>120.78800337783869</v>
      </c>
      <c r="AR40" s="5">
        <f>AQ39*Population!N$44*Population!$B$12+AR39*Population!$B$11*Population!N$45</f>
        <v>78.706232029652483</v>
      </c>
      <c r="AS40" s="5">
        <f>(AR39*Population!$B$12+AS39)*Population!N$46</f>
        <v>97.907041733601801</v>
      </c>
    </row>
    <row r="41" spans="1:45">
      <c r="A41">
        <f>A40+Population!$B$2</f>
        <v>38</v>
      </c>
      <c r="B41" s="4">
        <f t="shared" si="4"/>
        <v>1707</v>
      </c>
      <c r="C41" s="54">
        <f t="shared" si="21"/>
        <v>742</v>
      </c>
      <c r="D41" s="12">
        <f>AE40*Population!$Q$32*Population!$C$2+AG40*Population!$Q$34*Population!$C$2+AI40*Population!$Q$36*Population!$C$2+AK40*Population!$Q$38*Population!$C$2+AM40*Population!$Q$40*Population!$C$2+AO39*Population!$Q$42*Population!$C$2</f>
        <v>25.215907193209532</v>
      </c>
      <c r="E41" s="12">
        <f>IF(B40&gt;Population!$B$6*Population!$B$15,Population!$B$8,IF(Population!$J$6=1,D41,Population!$B$8*Population!$B$6*0.9/B40))</f>
        <v>23.761836638153017</v>
      </c>
      <c r="F41" s="12">
        <f>IF(B40&gt;Population!$B$6*0.75,Population!$B$8,E41)</f>
        <v>23.761836638153017</v>
      </c>
      <c r="G41" s="15">
        <f>IF(Population!$J$6=1,IF(E41&gt;H40,H40,E41),IF(E41&gt;X40,X40,E41))</f>
        <v>23.761836638153017</v>
      </c>
      <c r="H41" s="15">
        <f t="shared" si="22"/>
        <v>375</v>
      </c>
      <c r="I41" s="15">
        <f t="shared" si="23"/>
        <v>489</v>
      </c>
      <c r="J41" s="12">
        <f t="shared" si="18"/>
        <v>1.304</v>
      </c>
      <c r="K41" s="12">
        <f>AB41*Population!$P$29+AC41*Population!$P$30+AD41*Population!$P$31+AE41*Population!$P$32+AF41*Population!$P$33+AG41*Population!$P$34+AH41*Population!$P$35+AI41*Population!$P$36+AJ41*Population!$P$37+AK41*Population!$P$38+AL41*Population!$P$39+AM41*Population!$P$40+AN41*Population!$P$41+AO41*Population!$P$42+AP41*Population!$P$43+AQ41*Population!$P$44+AR41*Population!$P$45+AS41*Population!$P$46</f>
        <v>12.848031984682574</v>
      </c>
      <c r="L41" s="12">
        <f t="shared" si="7"/>
        <v>6.3364897701741377E-2</v>
      </c>
      <c r="M41" s="12">
        <f t="shared" si="24"/>
        <v>10.894726208973426</v>
      </c>
      <c r="N41" s="12">
        <f t="shared" si="19"/>
        <v>0.28646748681898065</v>
      </c>
      <c r="O41" s="12">
        <f t="shared" si="9"/>
        <v>559.13387349714105</v>
      </c>
      <c r="P41" s="12">
        <f t="shared" si="10"/>
        <v>204</v>
      </c>
      <c r="Q41" s="12">
        <f t="shared" si="11"/>
        <v>125.43306325142947</v>
      </c>
      <c r="R41" s="12">
        <f t="shared" si="12"/>
        <v>97.907041733601801</v>
      </c>
      <c r="S41" s="12">
        <f t="shared" si="25"/>
        <v>6.0712648680563738E-2</v>
      </c>
      <c r="T41" s="12">
        <f t="shared" si="20"/>
        <v>0.87848816867047863</v>
      </c>
      <c r="U41" s="12">
        <f>Population!$B$13*MIN(Z40:AA40)</f>
        <v>11.437009730384617</v>
      </c>
      <c r="V41" s="12">
        <f>X40*Population!$B$14</f>
        <v>1.9749247625175843</v>
      </c>
      <c r="W41" s="12">
        <f>AO40*T40*Population!$B$12</f>
        <v>9.1831488027016466</v>
      </c>
      <c r="X41" s="12">
        <f t="shared" si="17"/>
        <v>329.43306325142947</v>
      </c>
      <c r="Y41" s="12">
        <f>IF(B40&lt;Vehicle!$B$1*0.75,Vehicle!$B$1*0.01,0)</f>
        <v>0</v>
      </c>
      <c r="Z41" s="14">
        <f t="shared" si="26"/>
        <v>62.092978288114352</v>
      </c>
      <c r="AA41" s="13">
        <f t="shared" si="27"/>
        <v>45.787502803776533</v>
      </c>
      <c r="AB41" s="18">
        <f>(G41+Population!$B$11*AB40)*Population!N$29</f>
        <v>165.5277253316471</v>
      </c>
      <c r="AC41" s="18">
        <f>AB40*Population!$B$12*Population!$N$29+AC40*Population!$B$11*Population!$N$30+Y41*Population!$L$30</f>
        <v>163.98215345055016</v>
      </c>
      <c r="AD41" s="14">
        <f>(AC40*Population!$B$12*0.5*Population!$N$30)+(AD40*Population!$B$11*Population!N$31)+Y41*Population!$L$31</f>
        <v>79.965206133168508</v>
      </c>
      <c r="AE41" s="13">
        <f>(AC40*Population!$B$12*0.5*Population!$N$30)+(AE40*Population!$B$11*Population!N$31)+Y41*Population!$L$32</f>
        <v>79.965206133168508</v>
      </c>
      <c r="AF41" s="14">
        <f>(AD40*Population!$B$12*Population!N$31)+(AF40*Population!$B$11*Population!N$33)+Y41*Population!$L$33</f>
        <v>77.272590624478326</v>
      </c>
      <c r="AG41" s="13">
        <f>(AE40*Population!$B$12*Population!N$31)+(AG40*Population!$B$11*Population!N$33)+Y41*Population!$L$34</f>
        <v>77.178187563476044</v>
      </c>
      <c r="AH41" s="14">
        <f>(AF40*Population!$B$12*Population!N$33)+(AH40*Population!$B$11*Population!N$35)+Y41*Population!$L$35</f>
        <v>75.863498937327194</v>
      </c>
      <c r="AI41" s="13">
        <f>(AG40*Population!$B$12*Population!N$33)+(AI40*Population!$B$11*Population!N$35)+Y41*Population!$L$36</f>
        <v>75.209896670175965</v>
      </c>
      <c r="AJ41" s="14">
        <f>(AH40*Population!$B$12*Population!N$35)+(AJ40*Population!$B$11*Population!N$37)+Y41*Population!$L$37</f>
        <v>77.146779718585762</v>
      </c>
      <c r="AK41" s="13">
        <f>(AI40*Population!$B$12*Population!N$35)+(AK40*Population!$B$11*Population!N$37)+Y41*Population!$L$38</f>
        <v>74.907547262840581</v>
      </c>
      <c r="AL41" s="14">
        <f>(AJ40*Population!$B$12*Population!N$37)+(AL40*Population!$B$11*Population!N$39)+Y41*Population!$L$39</f>
        <v>79.783645694852751</v>
      </c>
      <c r="AM41" s="13">
        <f>(AK40*Population!$B$12*Population!N$37)+(AM40*Population!$B$11*Population!N$39)+Y41*Population!$L$40</f>
        <v>74.762223621622439</v>
      </c>
      <c r="AN41" s="14">
        <f>(AL40*Population!$B$12*Population!N$39)+(AN40*Population!$B$11*Population!N$41)+Y41*Population!$L$41</f>
        <v>81.459526564299793</v>
      </c>
      <c r="AO41" s="13">
        <f>(AM40*Population!$B$12*Population!N$39)+(AO40*Population!$B$11*Population!N$41)+Y41*Population!$L$42</f>
        <v>73.162710937090935</v>
      </c>
      <c r="AP41" s="15">
        <f>(AN40+AO40)*Population!$B$12*Population!$N$41+AP40*Population!$B$11*Population!$N$43</f>
        <v>143.41708069165279</v>
      </c>
      <c r="AQ41" s="5">
        <f>AP40*Population!N$43*Population!$B$12+AQ40*Population!$B$11*Population!N$44</f>
        <v>123.00451755023342</v>
      </c>
      <c r="AR41" s="5">
        <f>AQ40*Population!N$44*Population!$B$12+AR40*Population!$B$11*Population!N$45</f>
        <v>81.184607068348001</v>
      </c>
      <c r="AS41" s="5">
        <f>(AR40*Population!$B$12+AS40)*Population!N$46</f>
        <v>103.6364912977223</v>
      </c>
    </row>
    <row r="42" spans="1:45">
      <c r="A42">
        <f>A41+Population!$B$2</f>
        <v>39</v>
      </c>
      <c r="B42" s="4">
        <f t="shared" si="4"/>
        <v>1718</v>
      </c>
      <c r="C42" s="54">
        <f t="shared" si="21"/>
        <v>742</v>
      </c>
      <c r="D42" s="12">
        <f>AE41*Population!$Q$32*Population!$C$2+AG41*Population!$Q$34*Population!$C$2+AI41*Population!$Q$36*Population!$C$2+AK41*Population!$Q$38*Population!$C$2+AM41*Population!$Q$40*Population!$C$2+AO40*Population!$Q$42*Population!$C$2</f>
        <v>25.247868356066476</v>
      </c>
      <c r="E42" s="12">
        <f>IF(B41&gt;Population!$B$6*Population!$B$15,Population!$B$8,IF(Population!$J$6=1,D42,Population!$B$8*Population!$B$6*0.9/B41))</f>
        <v>23.761836638153017</v>
      </c>
      <c r="F42" s="12">
        <f>IF(B41&gt;Population!$B$6*0.75,Population!$B$8,E42)</f>
        <v>23.761836638153017</v>
      </c>
      <c r="G42" s="15">
        <f>IF(Population!$J$6=1,IF(E42&gt;H41,H41,E42),IF(E42&gt;X41,X41,E42))</f>
        <v>23.761836638153017</v>
      </c>
      <c r="H42" s="15">
        <f t="shared" si="22"/>
        <v>375</v>
      </c>
      <c r="I42" s="15">
        <f t="shared" si="23"/>
        <v>490</v>
      </c>
      <c r="J42" s="12">
        <f t="shared" si="18"/>
        <v>1.3066666666666666</v>
      </c>
      <c r="K42" s="12">
        <f>AB42*Population!$P$29+AC42*Population!$P$30+AD42*Population!$P$31+AE42*Population!$P$32+AF42*Population!$P$33+AG42*Population!$P$34+AH42*Population!$P$35+AI42*Population!$P$36+AJ42*Population!$P$37+AK42*Population!$P$38+AL42*Population!$P$39+AM42*Population!$P$40+AN42*Population!$P$41+AO42*Population!$P$42+AP42*Population!$P$43+AQ42*Population!$P$44+AR42*Population!$P$45+AS42*Population!$P$46</f>
        <v>13.275806689059307</v>
      </c>
      <c r="L42" s="12">
        <f t="shared" si="7"/>
        <v>6.3364897701741377E-2</v>
      </c>
      <c r="M42" s="12">
        <f t="shared" si="24"/>
        <v>10.904628379643283</v>
      </c>
      <c r="N42" s="12">
        <f t="shared" si="19"/>
        <v>0.28521536670547148</v>
      </c>
      <c r="O42" s="12">
        <f t="shared" si="9"/>
        <v>568.55691198172497</v>
      </c>
      <c r="P42" s="12">
        <f t="shared" si="10"/>
        <v>205</v>
      </c>
      <c r="Q42" s="12">
        <f t="shared" si="11"/>
        <v>124.72154400913752</v>
      </c>
      <c r="R42" s="12">
        <f t="shared" si="12"/>
        <v>103.6364912977223</v>
      </c>
      <c r="S42" s="12">
        <f t="shared" si="25"/>
        <v>6.3686062782370254E-2</v>
      </c>
      <c r="T42" s="12">
        <f t="shared" si="20"/>
        <v>0.87925745069103334</v>
      </c>
      <c r="U42" s="12">
        <f>Population!$B$13*MIN(Z41:AA41)</f>
        <v>11.446875700944133</v>
      </c>
      <c r="V42" s="12">
        <f>X41*Population!$B$14</f>
        <v>1.9765983795085769</v>
      </c>
      <c r="W42" s="12">
        <f>AO41*T41*Population!$B$12</f>
        <v>9.1817965637275165</v>
      </c>
      <c r="X42" s="12">
        <f t="shared" si="17"/>
        <v>329.72154400913752</v>
      </c>
      <c r="Y42" s="12">
        <f>IF(B41&lt;Vehicle!$B$1*0.75,Vehicle!$B$1*0.01,0)</f>
        <v>0</v>
      </c>
      <c r="Z42" s="14">
        <f t="shared" si="26"/>
        <v>60.925472271273861</v>
      </c>
      <c r="AA42" s="13">
        <f t="shared" si="27"/>
        <v>45.834195689420881</v>
      </c>
      <c r="AB42" s="18">
        <f>(G42+Population!$B$11*AB41)*Population!N$29</f>
        <v>165.57549311118862</v>
      </c>
      <c r="AC42" s="18">
        <f>AB41*Population!$B$12*Population!$N$29+AC41*Population!$B$11*Population!$N$30+Y42*Population!$L$30</f>
        <v>164.16172369590075</v>
      </c>
      <c r="AD42" s="14">
        <f>(AC41*Population!$B$12*0.5*Population!$N$30)+(AD41*Population!$B$11*Population!N$31)+Y42*Population!$L$31</f>
        <v>80.186660640479062</v>
      </c>
      <c r="AE42" s="13">
        <f>(AC41*Population!$B$12*0.5*Population!$N$30)+(AE41*Population!$B$11*Population!N$31)+Y42*Population!$L$32</f>
        <v>80.186660640479062</v>
      </c>
      <c r="AF42" s="14">
        <f>(AD41*Population!$B$12*Population!N$31)+(AF41*Population!$B$11*Population!N$33)+Y42*Population!$L$33</f>
        <v>77.583242623628962</v>
      </c>
      <c r="AG42" s="13">
        <f>(AE41*Population!$B$12*Population!N$31)+(AG41*Population!$B$11*Population!N$33)+Y42*Population!$L$34</f>
        <v>77.502402828013118</v>
      </c>
      <c r="AH42" s="14">
        <f>(AF41*Population!$B$12*Population!N$33)+(AH41*Population!$B$11*Population!N$35)+Y42*Population!$L$35</f>
        <v>75.929427994545478</v>
      </c>
      <c r="AI42" s="13">
        <f>(AG41*Population!$B$12*Population!N$33)+(AI41*Population!$B$11*Population!N$35)+Y42*Population!$L$36</f>
        <v>75.356799823163357</v>
      </c>
      <c r="AJ42" s="14">
        <f>(AH41*Population!$B$12*Population!N$35)+(AJ41*Population!$B$11*Population!N$37)+Y42*Population!$L$37</f>
        <v>76.815684061217723</v>
      </c>
      <c r="AK42" s="13">
        <f>(AI41*Population!$B$12*Population!N$35)+(AK41*Population!$B$11*Population!N$37)+Y42*Population!$L$38</f>
        <v>74.806834614449258</v>
      </c>
      <c r="AL42" s="14">
        <f>(AJ41*Population!$B$12*Population!N$37)+(AL41*Population!$B$11*Population!N$39)+Y42*Population!$L$39</f>
        <v>79.254489210319704</v>
      </c>
      <c r="AM42" s="13">
        <f>(AK41*Population!$B$12*Population!N$37)+(AM41*Population!$B$11*Population!N$39)+Y42*Population!$L$40</f>
        <v>74.639400812244205</v>
      </c>
      <c r="AN42" s="14">
        <f>(AL41*Population!$B$12*Population!N$39)+(AN41*Population!$B$11*Population!N$41)+Y42*Population!$L$41</f>
        <v>81.064172390699511</v>
      </c>
      <c r="AO42" s="13">
        <f>(AM41*Population!$B$12*Population!N$39)+(AO41*Population!$B$11*Population!N$41)+Y42*Population!$L$42</f>
        <v>73.250301620688461</v>
      </c>
      <c r="AP42" s="15">
        <f>(AN41+AO41)*Population!$B$12*Population!$N$41+AP41*Population!$B$11*Population!$N$43</f>
        <v>144.08417199217399</v>
      </c>
      <c r="AQ42" s="5">
        <f>AP41*Population!N$43*Population!$B$12+AQ41*Population!$B$11*Population!N$44</f>
        <v>125.00767366351482</v>
      </c>
      <c r="AR42" s="5">
        <f>AQ41*Population!N$44*Population!$B$12+AR41*Population!$B$11*Population!N$45</f>
        <v>83.515957016217797</v>
      </c>
      <c r="AS42" s="5">
        <f>(AR41*Population!$B$12+AS41)*Population!N$46</f>
        <v>109.4126558601121</v>
      </c>
    </row>
    <row r="43" spans="1:45">
      <c r="A43">
        <f>A42+Population!$B$2</f>
        <v>40</v>
      </c>
      <c r="B43" s="4">
        <f t="shared" si="4"/>
        <v>1728</v>
      </c>
      <c r="C43" s="54">
        <f t="shared" si="21"/>
        <v>741</v>
      </c>
      <c r="D43" s="12">
        <f>AE42*Population!$Q$32*Population!$C$2+AG42*Population!$Q$34*Population!$C$2+AI42*Population!$Q$36*Population!$C$2+AK42*Population!$Q$38*Population!$C$2+AM42*Population!$Q$40*Population!$C$2+AO41*Population!$Q$42*Population!$C$2</f>
        <v>25.283112447791535</v>
      </c>
      <c r="E43" s="12">
        <f>IF(B42&gt;Population!$B$6*Population!$B$15,Population!$B$8,IF(Population!$J$6=1,D43,Population!$B$8*Population!$B$6*0.9/B42))</f>
        <v>23.761836638153017</v>
      </c>
      <c r="F43" s="12">
        <f>IF(B42&gt;Population!$B$6*0.75,Population!$B$8,E43)</f>
        <v>23.761836638153017</v>
      </c>
      <c r="G43" s="15">
        <f>IF(Population!$J$6=1,IF(E43&gt;H42,H42,E43),IF(E43&gt;X42,X42,E43))</f>
        <v>23.761836638153017</v>
      </c>
      <c r="H43" s="15">
        <f t="shared" si="22"/>
        <v>375</v>
      </c>
      <c r="I43" s="15">
        <f t="shared" si="23"/>
        <v>490</v>
      </c>
      <c r="J43" s="12">
        <f t="shared" si="18"/>
        <v>1.3066666666666666</v>
      </c>
      <c r="K43" s="12">
        <f>AB43*Population!$P$29+AC43*Population!$P$30+AD43*Population!$P$31+AE43*Population!$P$32+AF43*Population!$P$33+AG43*Population!$P$34+AH43*Population!$P$35+AI43*Population!$P$36+AJ43*Population!$P$37+AK43*Population!$P$38+AL43*Population!$P$39+AM43*Population!$P$40+AN43*Population!$P$41+AO43*Population!$P$42+AP43*Population!$P$43+AQ43*Population!$P$44+AR43*Population!$P$45+AS43*Population!$P$46</f>
        <v>13.694915578230042</v>
      </c>
      <c r="L43" s="12">
        <f t="shared" si="7"/>
        <v>6.3364897701741377E-2</v>
      </c>
      <c r="M43" s="12">
        <f t="shared" si="24"/>
        <v>10.917497128528618</v>
      </c>
      <c r="N43" s="12">
        <f t="shared" si="19"/>
        <v>0.28356481481481483</v>
      </c>
      <c r="O43" s="12">
        <f t="shared" si="9"/>
        <v>577.99815079808297</v>
      </c>
      <c r="P43" s="12">
        <f t="shared" si="10"/>
        <v>205</v>
      </c>
      <c r="Q43" s="12">
        <f t="shared" si="11"/>
        <v>125.00092460095851</v>
      </c>
      <c r="R43" s="12">
        <f t="shared" si="12"/>
        <v>109.4126558601121</v>
      </c>
      <c r="S43" s="12">
        <f t="shared" si="25"/>
        <v>6.6674324592441561E-2</v>
      </c>
      <c r="T43" s="12">
        <f t="shared" si="20"/>
        <v>0.88000246560255602</v>
      </c>
      <c r="U43" s="12">
        <f>Population!$B$13*MIN(Z42:AA42)</f>
        <v>11.45854892235522</v>
      </c>
      <c r="V43" s="12">
        <f>X42*Population!$B$14</f>
        <v>1.9783292640548251</v>
      </c>
      <c r="W43" s="12">
        <f>AO42*T42*Population!$B$12</f>
        <v>9.2008390664794018</v>
      </c>
      <c r="X43" s="12">
        <f t="shared" si="17"/>
        <v>330.00092460095851</v>
      </c>
      <c r="Y43" s="12">
        <f>IF(B42&lt;Vehicle!$B$1*0.75,Vehicle!$B$1*0.01,0)</f>
        <v>0</v>
      </c>
      <c r="Z43" s="14">
        <f t="shared" si="26"/>
        <v>59.857031485694336</v>
      </c>
      <c r="AA43" s="13">
        <f t="shared" si="27"/>
        <v>45.908776002529351</v>
      </c>
      <c r="AB43" s="18">
        <f>(G43+Population!$B$11*AB42)*Population!N$29</f>
        <v>165.61642029903692</v>
      </c>
      <c r="AC43" s="18">
        <f>AB42*Population!$B$12*Population!$N$29+AC42*Population!$B$11*Population!$N$30+Y43*Population!$L$30</f>
        <v>164.32242761562864</v>
      </c>
      <c r="AD43" s="14">
        <f>(AC42*Population!$B$12*0.5*Population!$N$30)+(AD42*Population!$B$11*Population!N$31)+Y43*Population!$L$31</f>
        <v>80.389121453052383</v>
      </c>
      <c r="AE43" s="13">
        <f>(AC42*Population!$B$12*0.5*Population!$N$30)+(AE42*Population!$B$11*Population!N$31)+Y43*Population!$L$32</f>
        <v>80.389121453052383</v>
      </c>
      <c r="AF43" s="14">
        <f>(AD42*Population!$B$12*Population!N$31)+(AF42*Population!$B$11*Population!N$33)+Y43*Population!$L$33</f>
        <v>77.880868216191502</v>
      </c>
      <c r="AG43" s="13">
        <f>(AE42*Population!$B$12*Population!N$31)+(AG42*Population!$B$11*Population!N$33)+Y43*Population!$L$34</f>
        <v>77.811642997370967</v>
      </c>
      <c r="AH43" s="14">
        <f>(AF42*Population!$B$12*Population!N$33)+(AH42*Population!$B$11*Population!N$35)+Y43*Population!$L$35</f>
        <v>76.030166678597766</v>
      </c>
      <c r="AI43" s="13">
        <f>(AG42*Population!$B$12*Population!N$33)+(AI42*Population!$B$11*Population!N$35)+Y43*Population!$L$36</f>
        <v>75.528747377590761</v>
      </c>
      <c r="AJ43" s="14">
        <f>(AH42*Population!$B$12*Population!N$35)+(AJ42*Population!$B$11*Population!N$37)+Y43*Population!$L$37</f>
        <v>76.541833025673867</v>
      </c>
      <c r="AK43" s="13">
        <f>(AI42*Population!$B$12*Population!N$35)+(AK42*Population!$B$11*Population!N$37)+Y43*Population!$L$38</f>
        <v>74.741621102777145</v>
      </c>
      <c r="AL43" s="14">
        <f>(AJ42*Population!$B$12*Population!N$37)+(AL42*Population!$B$11*Population!N$39)+Y43*Population!$L$39</f>
        <v>78.754588784862221</v>
      </c>
      <c r="AM43" s="13">
        <f>(AK42*Population!$B$12*Population!N$37)+(AM42*Population!$B$11*Population!N$39)+Y43*Population!$L$40</f>
        <v>74.519966352585385</v>
      </c>
      <c r="AN43" s="14">
        <f>(AL42*Population!$B$12*Population!N$39)+(AN42*Population!$B$11*Population!N$41)+Y43*Population!$L$41</f>
        <v>80.65049938132745</v>
      </c>
      <c r="AO43" s="13">
        <f>(AM42*Population!$B$12*Population!N$39)+(AO42*Population!$B$11*Population!N$41)+Y43*Population!$L$42</f>
        <v>73.30772277316359</v>
      </c>
      <c r="AP43" s="15">
        <f>(AN42+AO42)*Population!$B$12*Population!$N$41+AP42*Population!$B$11*Population!$N$43</f>
        <v>144.60793724181008</v>
      </c>
      <c r="AQ43" s="5">
        <f>AP42*Population!N$43*Population!$B$12+AQ42*Population!$B$11*Population!N$44</f>
        <v>126.80682427456526</v>
      </c>
      <c r="AR43" s="5">
        <f>AQ42*Population!N$44*Population!$B$12+AR42*Population!$B$11*Population!N$45</f>
        <v>85.69739331942931</v>
      </c>
      <c r="AS43" s="5">
        <f>(AR42*Population!$B$12+AS42)*Population!N$46</f>
        <v>115.21323289573901</v>
      </c>
    </row>
    <row r="44" spans="1:45">
      <c r="A44">
        <f>A43+Population!$B$2</f>
        <v>41</v>
      </c>
      <c r="B44" s="4">
        <f t="shared" si="4"/>
        <v>1738</v>
      </c>
      <c r="C44" s="54">
        <f t="shared" si="21"/>
        <v>741</v>
      </c>
      <c r="D44" s="12">
        <f>AE43*Population!$Q$32*Population!$C$2+AG43*Population!$Q$34*Population!$C$2+AI43*Population!$Q$36*Population!$C$2+AK43*Population!$Q$38*Population!$C$2+AM43*Population!$Q$40*Population!$C$2+AO42*Population!$Q$42*Population!$C$2</f>
        <v>25.321224238702591</v>
      </c>
      <c r="E44" s="12">
        <f>IF(B43&gt;Population!$B$6*Population!$B$15,Population!$B$8,IF(Population!$J$6=1,D44,Population!$B$8*Population!$B$6*0.9/B43))</f>
        <v>23.761836638153017</v>
      </c>
      <c r="F44" s="12">
        <f>IF(B43&gt;Population!$B$6*0.75,Population!$B$8,E44)</f>
        <v>23.761836638153017</v>
      </c>
      <c r="G44" s="15">
        <f>IF(Population!$J$6=1,IF(E44&gt;H43,H43,E44),IF(E44&gt;X43,X43,E44))</f>
        <v>23.761836638153017</v>
      </c>
      <c r="H44" s="15">
        <f t="shared" si="22"/>
        <v>376</v>
      </c>
      <c r="I44" s="15">
        <f t="shared" si="23"/>
        <v>491</v>
      </c>
      <c r="J44" s="12">
        <f t="shared" si="18"/>
        <v>1.3058510638297873</v>
      </c>
      <c r="K44" s="12">
        <f>AB44*Population!$P$29+AC44*Population!$P$30+AD44*Population!$P$31+AE44*Population!$P$32+AF44*Population!$P$33+AG44*Population!$P$34+AH44*Population!$P$35+AI44*Population!$P$36+AJ44*Population!$P$37+AK44*Population!$P$38+AL44*Population!$P$39+AM44*Population!$P$40+AN44*Population!$P$41+AO44*Population!$P$42+AP44*Population!$P$43+AQ44*Population!$P$44+AR44*Population!$P$45+AS44*Population!$P$46</f>
        <v>14.104402377847006</v>
      </c>
      <c r="L44" s="12">
        <f t="shared" si="7"/>
        <v>6.3196374037641001E-2</v>
      </c>
      <c r="M44" s="12">
        <f t="shared" si="24"/>
        <v>10.932882180138769</v>
      </c>
      <c r="N44" s="12">
        <f t="shared" si="19"/>
        <v>0.28250863060989645</v>
      </c>
      <c r="O44" s="12">
        <f t="shared" si="9"/>
        <v>586.43548154577059</v>
      </c>
      <c r="P44" s="12">
        <f t="shared" si="10"/>
        <v>205</v>
      </c>
      <c r="Q44" s="12">
        <f t="shared" si="11"/>
        <v>125.28225922711471</v>
      </c>
      <c r="R44" s="12">
        <f t="shared" si="12"/>
        <v>115.21323289573901</v>
      </c>
      <c r="S44" s="12">
        <f t="shared" si="25"/>
        <v>6.9629835903160908E-2</v>
      </c>
      <c r="T44" s="12">
        <f t="shared" si="20"/>
        <v>0.8784102639019008</v>
      </c>
      <c r="U44" s="12">
        <f>Population!$B$13*MIN(Z43:AA43)</f>
        <v>11.477194000632338</v>
      </c>
      <c r="V44" s="12">
        <f>X43*Population!$B$14</f>
        <v>1.9800055476057512</v>
      </c>
      <c r="W44" s="12">
        <f>AO43*T43*Population!$B$12</f>
        <v>9.2158538268703722</v>
      </c>
      <c r="X44" s="12">
        <f t="shared" si="17"/>
        <v>330.28225922711471</v>
      </c>
      <c r="Y44" s="12">
        <f>IF(B43&lt;Vehicle!$B$1*0.75,Vehicle!$B$1*0.01,0)</f>
        <v>0</v>
      </c>
      <c r="Z44" s="14">
        <f t="shared" si="26"/>
        <v>58.876317554529976</v>
      </c>
      <c r="AA44" s="13">
        <f t="shared" si="27"/>
        <v>46.001729849259846</v>
      </c>
      <c r="AB44" s="18">
        <f>(G44+Population!$B$11*AB43)*Population!N$29</f>
        <v>165.65148650310266</v>
      </c>
      <c r="AC44" s="18">
        <f>AB43*Population!$B$12*Population!$N$29+AC43*Population!$B$11*Population!$N$30+Y44*Population!$L$30</f>
        <v>164.46598720698375</v>
      </c>
      <c r="AD44" s="14">
        <f>(AC43*Population!$B$12*0.5*Population!$N$30)+(AD43*Population!$B$11*Population!N$31)+Y44*Population!$L$31</f>
        <v>80.573970179507626</v>
      </c>
      <c r="AE44" s="13">
        <f>(AC43*Population!$B$12*0.5*Population!$N$30)+(AE43*Population!$B$11*Population!N$31)+Y44*Population!$L$32</f>
        <v>80.573970179507626</v>
      </c>
      <c r="AF44" s="14">
        <f>(AD43*Population!$B$12*Population!N$31)+(AF43*Population!$B$11*Population!N$33)+Y44*Population!$L$33</f>
        <v>78.164628158999491</v>
      </c>
      <c r="AG44" s="13">
        <f>(AE43*Population!$B$12*Population!N$31)+(AG43*Population!$B$11*Population!N$33)+Y44*Population!$L$34</f>
        <v>78.105348804267791</v>
      </c>
      <c r="AH44" s="14">
        <f>(AF43*Population!$B$12*Population!N$33)+(AH43*Population!$B$11*Population!N$35)+Y44*Population!$L$35</f>
        <v>76.158825757175805</v>
      </c>
      <c r="AI44" s="13">
        <f>(AG43*Population!$B$12*Population!N$33)+(AI43*Population!$B$11*Population!N$35)+Y44*Population!$L$36</f>
        <v>75.719983085335599</v>
      </c>
      <c r="AJ44" s="14">
        <f>(AH43*Population!$B$12*Population!N$35)+(AJ43*Population!$B$11*Population!N$37)+Y44*Population!$L$37</f>
        <v>76.321917856594624</v>
      </c>
      <c r="AK44" s="13">
        <f>(AI43*Population!$B$12*Population!N$35)+(AK43*Population!$B$11*Population!N$37)+Y44*Population!$L$38</f>
        <v>74.710347903454959</v>
      </c>
      <c r="AL44" s="14">
        <f>(AJ43*Population!$B$12*Population!N$37)+(AL43*Population!$B$11*Population!N$39)+Y44*Population!$L$39</f>
        <v>78.287878936090905</v>
      </c>
      <c r="AM44" s="13">
        <f>(AK43*Population!$B$12*Population!N$37)+(AM43*Population!$B$11*Population!N$39)+Y44*Population!$L$40</f>
        <v>74.408492184770054</v>
      </c>
      <c r="AN44" s="14">
        <f>(AL43*Population!$B$12*Population!N$39)+(AN43*Population!$B$11*Population!N$41)+Y44*Population!$L$41</f>
        <v>80.225326072783872</v>
      </c>
      <c r="AO44" s="13">
        <f>(AM43*Population!$B$12*Population!N$39)+(AO43*Population!$B$11*Population!N$41)+Y44*Population!$L$42</f>
        <v>73.339817098546163</v>
      </c>
      <c r="AP44" s="15">
        <f>(AN43+AO43)*Population!$B$12*Population!$N$41+AP43*Population!$B$11*Population!$N$43</f>
        <v>145.00282864982802</v>
      </c>
      <c r="AQ44" s="5">
        <f>AP43*Population!N$43*Population!$B$12+AQ43*Population!$B$11*Population!N$44</f>
        <v>128.41205406975072</v>
      </c>
      <c r="AR44" s="5">
        <f>AQ43*Population!N$44*Population!$B$12+AR43*Population!$B$11*Population!N$45</f>
        <v>87.727891550309309</v>
      </c>
      <c r="AS44" s="5">
        <f>(AR43*Population!$B$12+AS43)*Population!N$46</f>
        <v>121.01665479969367</v>
      </c>
    </row>
    <row r="45" spans="1:45">
      <c r="A45">
        <f>A44+Population!$B$2</f>
        <v>42</v>
      </c>
      <c r="B45" s="4">
        <f t="shared" si="4"/>
        <v>1748</v>
      </c>
      <c r="C45" s="54">
        <f t="shared" si="21"/>
        <v>741</v>
      </c>
      <c r="D45" s="12">
        <f>AE44*Population!$Q$32*Population!$C$2+AG44*Population!$Q$34*Population!$C$2+AI44*Population!$Q$36*Population!$C$2+AK44*Population!$Q$38*Population!$C$2+AM44*Population!$Q$40*Population!$C$2+AO43*Population!$Q$42*Population!$C$2</f>
        <v>25.361797697723304</v>
      </c>
      <c r="E45" s="12">
        <f>IF(B44&gt;Population!$B$6*Population!$B$15,Population!$B$8,IF(Population!$J$6=1,D45,Population!$B$8*Population!$B$6*0.9/B44))</f>
        <v>23.761836638153017</v>
      </c>
      <c r="F45" s="12">
        <f>IF(B44&gt;Population!$B$6*0.75,Population!$B$8,E45)</f>
        <v>23.761836638153017</v>
      </c>
      <c r="G45" s="15">
        <f>IF(Population!$J$6=1,IF(E45&gt;H44,H44,E45),IF(E45&gt;X44,X44,E45))</f>
        <v>23.761836638153017</v>
      </c>
      <c r="H45" s="15">
        <f t="shared" si="22"/>
        <v>376</v>
      </c>
      <c r="I45" s="15">
        <f t="shared" si="23"/>
        <v>491</v>
      </c>
      <c r="J45" s="12">
        <f t="shared" si="18"/>
        <v>1.3058510638297873</v>
      </c>
      <c r="K45" s="12">
        <f>AB45*Population!$P$29+AC45*Population!$P$30+AD45*Population!$P$31+AE45*Population!$P$32+AF45*Population!$P$33+AG45*Population!$P$34+AH45*Population!$P$35+AI45*Population!$P$36+AJ45*Population!$P$37+AK45*Population!$P$38+AL45*Population!$P$39+AM45*Population!$P$40+AN45*Population!$P$41+AO45*Population!$P$42+AP45*Population!$P$43+AQ45*Population!$P$44+AR45*Population!$P$45+AS45*Population!$P$46</f>
        <v>14.503437882234788</v>
      </c>
      <c r="L45" s="12">
        <f t="shared" si="7"/>
        <v>6.3196374037641001E-2</v>
      </c>
      <c r="M45" s="12">
        <f t="shared" si="24"/>
        <v>10.950360005659457</v>
      </c>
      <c r="N45" s="12">
        <f t="shared" si="19"/>
        <v>0.28089244851258582</v>
      </c>
      <c r="O45" s="12">
        <f t="shared" si="9"/>
        <v>595.80441747245209</v>
      </c>
      <c r="P45" s="12">
        <f t="shared" si="10"/>
        <v>205</v>
      </c>
      <c r="Q45" s="12">
        <f t="shared" si="11"/>
        <v>125.59779126377396</v>
      </c>
      <c r="R45" s="12">
        <f t="shared" si="12"/>
        <v>121.01665479969367</v>
      </c>
      <c r="S45" s="12">
        <f t="shared" si="25"/>
        <v>7.2541364192847305E-2</v>
      </c>
      <c r="T45" s="12">
        <f t="shared" si="20"/>
        <v>0.87924944485046264</v>
      </c>
      <c r="U45" s="12">
        <f>Population!$B$13*MIN(Z44:AA44)</f>
        <v>11.500432462314961</v>
      </c>
      <c r="V45" s="12">
        <f>X44*Population!$B$14</f>
        <v>1.9816935553626882</v>
      </c>
      <c r="W45" s="12">
        <f>AO44*T44*Population!$B$12</f>
        <v>9.203206870293009</v>
      </c>
      <c r="X45" s="12">
        <f t="shared" si="17"/>
        <v>330.59779126377396</v>
      </c>
      <c r="Y45" s="12">
        <f>IF(B44&lt;Vehicle!$B$1*0.75,Vehicle!$B$1*0.01,0)</f>
        <v>0</v>
      </c>
      <c r="Z45" s="14">
        <f t="shared" si="26"/>
        <v>57.950027637194353</v>
      </c>
      <c r="AA45" s="13">
        <f t="shared" si="27"/>
        <v>46.081857359611945</v>
      </c>
      <c r="AB45" s="18">
        <f>(G45+Population!$B$11*AB44)*Population!N$29</f>
        <v>165.68153104640572</v>
      </c>
      <c r="AC45" s="18">
        <f>AB44*Population!$B$12*Population!$N$29+AC44*Population!$B$11*Population!$N$30+Y45*Population!$L$30</f>
        <v>164.59401802267939</v>
      </c>
      <c r="AD45" s="14">
        <f>(AC44*Population!$B$12*0.5*Population!$N$30)+(AD44*Population!$B$11*Population!N$31)+Y45*Population!$L$31</f>
        <v>80.742512899355773</v>
      </c>
      <c r="AE45" s="13">
        <f>(AC44*Population!$B$12*0.5*Population!$N$30)+(AE44*Population!$B$11*Population!N$31)+Y45*Population!$L$32</f>
        <v>80.742512899355773</v>
      </c>
      <c r="AF45" s="14">
        <f>(AD44*Population!$B$12*Population!N$31)+(AF44*Population!$B$11*Population!N$33)+Y45*Population!$L$33</f>
        <v>78.434000970872916</v>
      </c>
      <c r="AG45" s="13">
        <f>(AE44*Population!$B$12*Population!N$31)+(AG44*Population!$B$11*Population!N$33)+Y45*Population!$L$34</f>
        <v>78.383238518152936</v>
      </c>
      <c r="AH45" s="14">
        <f>(AF44*Population!$B$12*Population!N$33)+(AH44*Population!$B$11*Population!N$35)+Y45*Population!$L$35</f>
        <v>76.309391734099449</v>
      </c>
      <c r="AI45" s="13">
        <f>(AG44*Population!$B$12*Population!N$33)+(AI44*Population!$B$11*Population!N$35)+Y45*Population!$L$36</f>
        <v>75.925502673389687</v>
      </c>
      <c r="AJ45" s="14">
        <f>(AH44*Population!$B$12*Population!N$35)+(AJ44*Population!$B$11*Population!N$37)+Y45*Population!$L$37</f>
        <v>76.152125636797393</v>
      </c>
      <c r="AK45" s="13">
        <f>(AI44*Population!$B$12*Population!N$35)+(AK44*Population!$B$11*Population!N$37)+Y45*Population!$L$38</f>
        <v>74.710860704384814</v>
      </c>
      <c r="AL45" s="14">
        <f>(AJ44*Population!$B$12*Population!N$37)+(AL44*Population!$B$11*Population!N$39)+Y45*Population!$L$39</f>
        <v>77.857253860787367</v>
      </c>
      <c r="AM45" s="13">
        <f>(AK44*Population!$B$12*Population!N$37)+(AM44*Population!$B$11*Population!N$39)+Y45*Population!$L$40</f>
        <v>74.308667330590296</v>
      </c>
      <c r="AN45" s="14">
        <f>(AL44*Population!$B$12*Population!N$39)+(AN44*Population!$B$11*Population!N$41)+Y45*Population!$L$41</f>
        <v>79.795046698411198</v>
      </c>
      <c r="AO45" s="13">
        <f>(AM44*Population!$B$12*Population!N$39)+(AO44*Population!$B$11*Population!N$41)+Y45*Population!$L$42</f>
        <v>73.35137939686814</v>
      </c>
      <c r="AP45" s="15">
        <f>(AN44+AO44)*Population!$B$12*Population!$N$41+AP44*Population!$B$11*Population!$N$43</f>
        <v>145.28280670702026</v>
      </c>
      <c r="AQ45" s="5">
        <f>AP44*Population!N$43*Population!$B$12+AQ44*Population!$B$11*Population!N$44</f>
        <v>129.83399402979816</v>
      </c>
      <c r="AR45" s="5">
        <f>AQ44*Population!N$44*Population!$B$12+AR44*Population!$B$11*Population!N$45</f>
        <v>89.60804821326731</v>
      </c>
      <c r="AS45" s="5">
        <f>(AR44*Population!$B$12+AS44)*Population!N$46</f>
        <v>126.80230460909709</v>
      </c>
    </row>
    <row r="46" spans="1:45">
      <c r="A46">
        <f>A45+Population!$B$2</f>
        <v>43</v>
      </c>
      <c r="B46" s="4">
        <f t="shared" si="4"/>
        <v>1757</v>
      </c>
      <c r="C46" s="54">
        <f t="shared" si="21"/>
        <v>740</v>
      </c>
      <c r="D46" s="12">
        <f>AE45*Population!$Q$32*Population!$C$2+AG45*Population!$Q$34*Population!$C$2+AI45*Population!$Q$36*Population!$C$2+AK45*Population!$Q$38*Population!$C$2+AM45*Population!$Q$40*Population!$C$2+AO44*Population!$Q$42*Population!$C$2</f>
        <v>25.40444117007884</v>
      </c>
      <c r="E46" s="12">
        <f>IF(B45&gt;Population!$B$6*Population!$B$15,Population!$B$8,IF(Population!$J$6=1,D46,Population!$B$8*Population!$B$6*0.9/B45))</f>
        <v>23.761836638153017</v>
      </c>
      <c r="F46" s="12">
        <f>IF(B45&gt;Population!$B$6*0.75,Population!$B$8,E46)</f>
        <v>23.761836638153017</v>
      </c>
      <c r="G46" s="15">
        <f>IF(Population!$J$6=1,IF(E46&gt;H45,H45,E46),IF(E46&gt;X45,X45,E46))</f>
        <v>23.761836638153017</v>
      </c>
      <c r="H46" s="15">
        <f t="shared" si="22"/>
        <v>377</v>
      </c>
      <c r="I46" s="15">
        <f t="shared" si="23"/>
        <v>492</v>
      </c>
      <c r="J46" s="12">
        <f t="shared" si="18"/>
        <v>1.3050397877984086</v>
      </c>
      <c r="K46" s="12">
        <f>AB46*Population!$P$29+AC46*Population!$P$30+AD46*Population!$P$31+AE46*Population!$P$32+AF46*Population!$P$33+AG46*Population!$P$34+AH46*Population!$P$35+AI46*Population!$P$36+AJ46*Population!$P$37+AK46*Population!$P$38+AL46*Population!$P$39+AM46*Population!$P$40+AN46*Population!$P$41+AO46*Population!$P$42+AP46*Population!$P$43+AQ46*Population!$P$44+AR46*Population!$P$45+AS46*Population!$P$46</f>
        <v>14.891316462929698</v>
      </c>
      <c r="L46" s="12">
        <f t="shared" si="7"/>
        <v>6.3028744398283862E-2</v>
      </c>
      <c r="M46" s="12">
        <f t="shared" si="24"/>
        <v>10.969537005114644</v>
      </c>
      <c r="N46" s="12">
        <f t="shared" si="19"/>
        <v>0.28002276607854298</v>
      </c>
      <c r="O46" s="12">
        <f t="shared" si="9"/>
        <v>603.15756503458624</v>
      </c>
      <c r="P46" s="12">
        <f t="shared" si="10"/>
        <v>205</v>
      </c>
      <c r="Q46" s="12">
        <f t="shared" si="11"/>
        <v>125.92121748270688</v>
      </c>
      <c r="R46" s="12">
        <f t="shared" si="12"/>
        <v>126.80230460909709</v>
      </c>
      <c r="S46" s="12">
        <f t="shared" si="25"/>
        <v>7.5441484257195851E-2</v>
      </c>
      <c r="T46" s="12">
        <f t="shared" si="20"/>
        <v>0.8777751126862251</v>
      </c>
      <c r="U46" s="12">
        <f>Population!$B$13*MIN(Z45:AA45)</f>
        <v>11.520464339902986</v>
      </c>
      <c r="V46" s="12">
        <f>X45*Population!$B$14</f>
        <v>1.9835867475826439</v>
      </c>
      <c r="W46" s="12">
        <f>AO45*T45*Population!$B$12</f>
        <v>9.2134513733874233</v>
      </c>
      <c r="X46" s="12">
        <f t="shared" si="17"/>
        <v>330.92121748270688</v>
      </c>
      <c r="Y46" s="12">
        <f>IF(B45&lt;Vehicle!$B$1*0.75,Vehicle!$B$1*0.01,0)</f>
        <v>0</v>
      </c>
      <c r="Z46" s="14">
        <f t="shared" si="26"/>
        <v>57.10268172431222</v>
      </c>
      <c r="AA46" s="13">
        <f t="shared" si="27"/>
        <v>46.176005740702976</v>
      </c>
      <c r="AB46" s="18">
        <f>(G46+Population!$B$11*AB45)*Population!N$29</f>
        <v>165.70727305659301</v>
      </c>
      <c r="AC46" s="18">
        <f>AB45*Population!$B$12*Population!$N$29+AC45*Population!$B$11*Population!$N$30+Y46*Population!$L$30</f>
        <v>164.70802436522095</v>
      </c>
      <c r="AD46" s="14">
        <f>(AC45*Population!$B$12*0.5*Population!$N$30)+(AD45*Population!$B$11*Population!N$31)+Y46*Population!$L$31</f>
        <v>80.895983413098335</v>
      </c>
      <c r="AE46" s="13">
        <f>(AC45*Population!$B$12*0.5*Population!$N$30)+(AE45*Population!$B$11*Population!N$31)+Y46*Population!$L$32</f>
        <v>80.895983413098335</v>
      </c>
      <c r="AF46" s="14">
        <f>(AD45*Population!$B$12*Population!N$31)+(AF45*Population!$B$11*Population!N$33)+Y46*Population!$L$33</f>
        <v>78.688726498892677</v>
      </c>
      <c r="AG46" s="13">
        <f>(AE45*Population!$B$12*Population!N$31)+(AG45*Population!$B$11*Population!N$33)+Y46*Population!$L$34</f>
        <v>78.645257290804793</v>
      </c>
      <c r="AH46" s="14">
        <f>(AF45*Population!$B$12*Population!N$33)+(AH45*Population!$B$11*Population!N$35)+Y46*Population!$L$35</f>
        <v>76.476645654252508</v>
      </c>
      <c r="AI46" s="13">
        <f>(AG45*Population!$B$12*Population!N$33)+(AI45*Population!$B$11*Population!N$35)+Y46*Population!$L$36</f>
        <v>76.140984791626551</v>
      </c>
      <c r="AJ46" s="14">
        <f>(AH45*Population!$B$12*Population!N$35)+(AJ45*Population!$B$11*Population!N$37)+Y46*Population!$L$37</f>
        <v>76.028337005059782</v>
      </c>
      <c r="AK46" s="13">
        <f>(AI45*Population!$B$12*Population!N$35)+(AK45*Population!$B$11*Population!N$37)+Y46*Population!$L$38</f>
        <v>74.740602974178728</v>
      </c>
      <c r="AL46" s="14">
        <f>(AJ45*Population!$B$12*Population!N$37)+(AL45*Population!$B$11*Population!N$39)+Y46*Population!$L$39</f>
        <v>77.464645879403236</v>
      </c>
      <c r="AM46" s="13">
        <f>(AK45*Population!$B$12*Population!N$37)+(AM45*Population!$B$11*Population!N$39)+Y46*Population!$L$40</f>
        <v>74.223340569675116</v>
      </c>
      <c r="AN46" s="14">
        <f>(AL45*Population!$B$12*Population!N$39)+(AN45*Population!$B$11*Population!N$41)+Y46*Population!$L$41</f>
        <v>79.365544169410882</v>
      </c>
      <c r="AO46" s="13">
        <f>(AM45*Population!$B$12*Population!N$39)+(AO45*Population!$B$11*Population!N$41)+Y46*Population!$L$42</f>
        <v>73.347037597124654</v>
      </c>
      <c r="AP46" s="15">
        <f>(AN45+AO45)*Population!$B$12*Population!$N$41+AP45*Population!$B$11*Population!$N$43</f>
        <v>145.46134615822035</v>
      </c>
      <c r="AQ46" s="5">
        <f>AP45*Population!N$43*Population!$B$12+AQ45*Population!$B$11*Population!N$44</f>
        <v>131.08367025669816</v>
      </c>
      <c r="AR46" s="5">
        <f>AQ45*Population!N$44*Population!$B$12+AR45*Population!$B$11*Population!N$45</f>
        <v>91.339856468325777</v>
      </c>
      <c r="AS46" s="5">
        <f>(AR45*Population!$B$12+AS45)*Population!N$46</f>
        <v>132.5506878398931</v>
      </c>
    </row>
    <row r="47" spans="1:45">
      <c r="A47">
        <f>A46+Population!$B$2</f>
        <v>44</v>
      </c>
      <c r="B47" s="4">
        <f t="shared" si="4"/>
        <v>1766</v>
      </c>
      <c r="C47" s="54">
        <f t="shared" si="21"/>
        <v>741</v>
      </c>
      <c r="D47" s="12">
        <f>AE46*Population!$Q$32*Population!$C$2+AG46*Population!$Q$34*Population!$C$2+AI46*Population!$Q$36*Population!$C$2+AK46*Population!$Q$38*Population!$C$2+AM46*Population!$Q$40*Population!$C$2+AO45*Population!$Q$42*Population!$C$2</f>
        <v>25.448781044968619</v>
      </c>
      <c r="E47" s="12">
        <f>IF(B46&gt;Population!$B$6*Population!$B$15,Population!$B$8,IF(Population!$J$6=1,D47,Population!$B$8*Population!$B$6*0.9/B46))</f>
        <v>23.761836638153017</v>
      </c>
      <c r="F47" s="12">
        <f>IF(B46&gt;Population!$B$6*0.75,Population!$B$8,E47)</f>
        <v>23.761836638153017</v>
      </c>
      <c r="G47" s="15">
        <f>IF(Population!$J$6=1,IF(E47&gt;H46,H46,E47),IF(E47&gt;X46,X46,E47))</f>
        <v>23.761836638153017</v>
      </c>
      <c r="H47" s="15">
        <f t="shared" si="22"/>
        <v>377</v>
      </c>
      <c r="I47" s="15">
        <f t="shared" si="23"/>
        <v>492</v>
      </c>
      <c r="J47" s="12">
        <f t="shared" si="18"/>
        <v>1.3050397877984086</v>
      </c>
      <c r="K47" s="12">
        <f>AB47*Population!$P$29+AC47*Population!$P$30+AD47*Population!$P$31+AE47*Population!$P$32+AF47*Population!$P$33+AG47*Population!$P$34+AH47*Population!$P$35+AI47*Population!$P$36+AJ47*Population!$P$37+AK47*Population!$P$38+AL47*Population!$P$39+AM47*Population!$P$40+AN47*Population!$P$41+AO47*Population!$P$42+AP47*Population!$P$43+AQ47*Population!$P$44+AR47*Population!$P$45+AS47*Population!$P$46</f>
        <v>15.267451618173544</v>
      </c>
      <c r="L47" s="12">
        <f t="shared" si="7"/>
        <v>6.3028744398283862E-2</v>
      </c>
      <c r="M47" s="12">
        <f t="shared" si="24"/>
        <v>10.99005137570974</v>
      </c>
      <c r="N47" s="12">
        <f t="shared" si="19"/>
        <v>0.27859569648924121</v>
      </c>
      <c r="O47" s="12">
        <f t="shared" si="9"/>
        <v>611.43553225746064</v>
      </c>
      <c r="P47" s="12">
        <f t="shared" si="10"/>
        <v>205</v>
      </c>
      <c r="Q47" s="12">
        <f t="shared" si="11"/>
        <v>126.28223387126968</v>
      </c>
      <c r="R47" s="12">
        <f t="shared" si="12"/>
        <v>132.5506878398931</v>
      </c>
      <c r="S47" s="12">
        <f t="shared" si="25"/>
        <v>7.8280614508259017E-2</v>
      </c>
      <c r="T47" s="12">
        <f t="shared" si="20"/>
        <v>0.87873271583891166</v>
      </c>
      <c r="U47" s="12">
        <f>Population!$B$13*MIN(Z46:AA46)</f>
        <v>11.544001435175744</v>
      </c>
      <c r="V47" s="12">
        <f>X46*Population!$B$14</f>
        <v>1.9855273048962414</v>
      </c>
      <c r="W47" s="12">
        <f>AO46*T46*Population!$B$12</f>
        <v>9.1974577417166969</v>
      </c>
      <c r="X47" s="12">
        <f t="shared" si="17"/>
        <v>331.28223387126968</v>
      </c>
      <c r="Y47" s="12">
        <f>IF(B46&lt;Vehicle!$B$1*0.75,Vehicle!$B$1*0.01,0)</f>
        <v>0</v>
      </c>
      <c r="Z47" s="14">
        <f t="shared" si="26"/>
        <v>56.302141050124931</v>
      </c>
      <c r="AA47" s="13">
        <f t="shared" si="27"/>
        <v>46.254538112489683</v>
      </c>
      <c r="AB47" s="18">
        <f>(G47+Population!$B$11*AB46)*Population!N$29</f>
        <v>165.72932867853399</v>
      </c>
      <c r="AC47" s="18">
        <f>AB46*Population!$B$12*Population!$N$29+AC46*Population!$B$11*Population!$N$30+Y47*Population!$L$30</f>
        <v>164.8093980374521</v>
      </c>
      <c r="AD47" s="14">
        <f>(AC46*Population!$B$12*0.5*Population!$N$30)+(AD46*Population!$B$11*Population!N$31)+Y47*Population!$L$31</f>
        <v>81.035545682186196</v>
      </c>
      <c r="AE47" s="13">
        <f>(AC46*Population!$B$12*0.5*Population!$N$30)+(AE46*Population!$B$11*Population!N$31)+Y47*Population!$L$32</f>
        <v>81.035545682186196</v>
      </c>
      <c r="AF47" s="14">
        <f>(AD46*Population!$B$12*Population!N$31)+(AF46*Population!$B$11*Population!N$33)+Y47*Population!$L$33</f>
        <v>78.92875805659159</v>
      </c>
      <c r="AG47" s="13">
        <f>(AE46*Population!$B$12*Population!N$31)+(AG46*Population!$B$11*Population!N$33)+Y47*Population!$L$34</f>
        <v>78.891534243506513</v>
      </c>
      <c r="AH47" s="14">
        <f>(AF46*Population!$B$12*Population!N$33)+(AH46*Population!$B$11*Population!N$35)+Y47*Population!$L$35</f>
        <v>76.656085587159623</v>
      </c>
      <c r="AI47" s="13">
        <f>(AG46*Population!$B$12*Population!N$33)+(AI46*Population!$B$11*Population!N$35)+Y47*Population!$L$36</f>
        <v>76.362724709366631</v>
      </c>
      <c r="AJ47" s="14">
        <f>(AH46*Population!$B$12*Population!N$35)+(AJ46*Population!$B$11*Population!N$37)+Y47*Population!$L$37</f>
        <v>75.946283726093824</v>
      </c>
      <c r="AK47" s="13">
        <f>(AI46*Population!$B$12*Population!N$35)+(AK46*Population!$B$11*Population!N$37)+Y47*Population!$L$38</f>
        <v>74.796771457090927</v>
      </c>
      <c r="AL47" s="14">
        <f>(AJ46*Population!$B$12*Population!N$37)+(AL46*Population!$B$11*Population!N$39)+Y47*Population!$L$39</f>
        <v>77.111120736271246</v>
      </c>
      <c r="AM47" s="13">
        <f>(AK46*Population!$B$12*Population!N$37)+(AM46*Population!$B$11*Population!N$39)+Y47*Population!$L$40</f>
        <v>74.154584507308059</v>
      </c>
      <c r="AN47" s="14">
        <f>(AL46*Population!$B$12*Population!N$39)+(AN46*Population!$B$11*Population!N$41)+Y47*Population!$L$41</f>
        <v>78.942126815278357</v>
      </c>
      <c r="AO47" s="13">
        <f>(AM46*Population!$B$12*Population!N$39)+(AO46*Population!$B$11*Population!N$41)+Y47*Population!$L$42</f>
        <v>73.331157066487194</v>
      </c>
      <c r="AP47" s="15">
        <f>(AN46+AO46)*Population!$B$12*Population!$N$41+AP46*Population!$B$11*Population!$N$43</f>
        <v>145.55141171442619</v>
      </c>
      <c r="AQ47" s="5">
        <f>AP46*Population!N$43*Population!$B$12+AQ46*Population!$B$11*Population!N$44</f>
        <v>132.17237618322798</v>
      </c>
      <c r="AR47" s="5">
        <f>AQ46*Population!N$44*Population!$B$12+AR46*Population!$B$11*Population!N$45</f>
        <v>92.926502166373268</v>
      </c>
      <c r="AS47" s="5">
        <f>(AR46*Population!$B$12+AS46)*Population!N$46</f>
        <v>138.24356522158541</v>
      </c>
    </row>
    <row r="48" spans="1:45">
      <c r="A48">
        <f>A47+Population!$B$2</f>
        <v>45</v>
      </c>
      <c r="B48" s="4">
        <f t="shared" si="4"/>
        <v>1775</v>
      </c>
      <c r="C48" s="54">
        <f t="shared" si="21"/>
        <v>742</v>
      </c>
      <c r="D48" s="12">
        <f>AE47*Population!$Q$32*Population!$C$2+AG47*Population!$Q$34*Population!$C$2+AI47*Population!$Q$36*Population!$C$2+AK47*Population!$Q$38*Population!$C$2+AM47*Population!$Q$40*Population!$C$2+AO46*Population!$Q$42*Population!$C$2</f>
        <v>25.494464265291622</v>
      </c>
      <c r="E48" s="12">
        <f>IF(B47&gt;Population!$B$6*Population!$B$15,Population!$B$8,IF(Population!$J$6=1,D48,Population!$B$8*Population!$B$6*0.9/B47))</f>
        <v>23.761836638153017</v>
      </c>
      <c r="F48" s="12">
        <f>IF(B47&gt;Population!$B$6*0.75,Population!$B$8,E48)</f>
        <v>23.761836638153017</v>
      </c>
      <c r="G48" s="15">
        <f>IF(Population!$J$6=1,IF(E48&gt;H47,H47,E48),IF(E48&gt;X47,X47,E48))</f>
        <v>23.761836638153017</v>
      </c>
      <c r="H48" s="15">
        <f t="shared" si="22"/>
        <v>377</v>
      </c>
      <c r="I48" s="15">
        <f t="shared" si="23"/>
        <v>492</v>
      </c>
      <c r="J48" s="12">
        <f t="shared" si="18"/>
        <v>1.3050397877984086</v>
      </c>
      <c r="K48" s="12">
        <f>AB48*Population!$P$29+AC48*Population!$P$30+AD48*Population!$P$31+AE48*Population!$P$32+AF48*Population!$P$33+AG48*Population!$P$34+AH48*Population!$P$35+AI48*Population!$P$36+AJ48*Population!$P$37+AK48*Population!$P$38+AL48*Population!$P$37+AM48*Population!$P$38+AN48*Population!$P$39+AO48*Population!$P$40+AP48*Population!$P$41+AQ48*Population!$P$42+AR48*Population!$P$43+AS48*Population!$P$44</f>
        <v>3.8375408098650716</v>
      </c>
      <c r="L48" s="12">
        <f t="shared" si="7"/>
        <v>6.3028744398283862E-2</v>
      </c>
      <c r="M48" s="12">
        <f t="shared" si="24"/>
        <v>11.011573928278066</v>
      </c>
      <c r="N48" s="12">
        <f t="shared" si="19"/>
        <v>0.27718309859154927</v>
      </c>
      <c r="O48" s="12">
        <f t="shared" si="9"/>
        <v>619.69464623756937</v>
      </c>
      <c r="P48" s="12">
        <f t="shared" si="10"/>
        <v>205</v>
      </c>
      <c r="Q48" s="12">
        <f t="shared" si="11"/>
        <v>126.65267688121531</v>
      </c>
      <c r="R48" s="12">
        <f t="shared" si="12"/>
        <v>138.24356522158541</v>
      </c>
      <c r="S48" s="12">
        <f t="shared" si="25"/>
        <v>8.1050169611514247E-2</v>
      </c>
      <c r="T48" s="12">
        <f t="shared" si="20"/>
        <v>0.87971532329234836</v>
      </c>
      <c r="U48" s="12">
        <f>Population!$B$13*MIN(Z47:AA47)</f>
        <v>11.563634528122421</v>
      </c>
      <c r="V48" s="12">
        <f>X47*Population!$B$14</f>
        <v>1.9876934032276181</v>
      </c>
      <c r="W48" s="12">
        <f>AO47*T47*Population!$B$12</f>
        <v>9.2054981149491546</v>
      </c>
      <c r="X48" s="12">
        <f t="shared" si="17"/>
        <v>331.65267688121531</v>
      </c>
      <c r="Y48" s="12">
        <f>IF(B47&lt;Vehicle!$B$1*0.75,Vehicle!$B$1*0.01,0)</f>
        <v>0</v>
      </c>
      <c r="Z48" s="14">
        <f t="shared" si="26"/>
        <v>55.573540274422157</v>
      </c>
      <c r="AA48" s="13">
        <f t="shared" si="27"/>
        <v>46.3452208371246</v>
      </c>
      <c r="AB48" s="18">
        <f>(G48+Population!$B$11*AB47)*Population!N$29</f>
        <v>165.74822582198408</v>
      </c>
      <c r="AC48" s="18">
        <f>AB47*Population!$B$12*Population!$N$29+AC47*Population!$B$11*Population!$N$30+Y48*Population!$L$30</f>
        <v>164.89941972977894</v>
      </c>
      <c r="AD48" s="14">
        <f>(AC47*Population!$B$12*0.5*Population!$N$30)+(AD47*Population!$B$11*Population!N$31)+Y48*Population!$L$31</f>
        <v>81.16229582919334</v>
      </c>
      <c r="AE48" s="13">
        <f>(AC47*Population!$B$12*0.5*Population!$N$30)+(AE47*Population!$B$11*Population!N$31)+Y48*Population!$L$32</f>
        <v>81.16229582919334</v>
      </c>
      <c r="AF48" s="14">
        <f>(AD47*Population!$B$12*Population!N$31)+(AF47*Population!$B$11*Population!N$33)+Y48*Population!$L$33</f>
        <v>79.15422178687615</v>
      </c>
      <c r="AG48" s="13">
        <f>(AE47*Population!$B$12*Population!N$31)+(AG47*Population!$B$11*Population!N$33)+Y48*Population!$L$34</f>
        <v>79.122346067912261</v>
      </c>
      <c r="AH48" s="14">
        <f>(AF47*Population!$B$12*Population!N$33)+(AH47*Population!$B$11*Population!N$35)+Y48*Population!$L$35</f>
        <v>76.843853481022478</v>
      </c>
      <c r="AI48" s="13">
        <f>(AG47*Population!$B$12*Population!N$33)+(AI47*Population!$B$11*Population!N$35)+Y48*Population!$L$36</f>
        <v>76.587571468417195</v>
      </c>
      <c r="AJ48" s="14">
        <f>(AH47*Population!$B$12*Population!N$35)+(AJ47*Population!$B$11*Population!N$37)+Y48*Population!$L$37</f>
        <v>75.901672438695812</v>
      </c>
      <c r="AK48" s="13">
        <f>(AI47*Population!$B$12*Population!N$35)+(AK47*Population!$B$11*Population!N$37)+Y48*Population!$L$38</f>
        <v>74.876439744754933</v>
      </c>
      <c r="AL48" s="14">
        <f>(AJ47*Population!$B$12*Population!N$37)+(AL47*Population!$B$11*Population!N$39)+Y48*Population!$L$39</f>
        <v>76.796981595440769</v>
      </c>
      <c r="AM48" s="13">
        <f>(AK47*Population!$B$12*Population!N$37)+(AM47*Population!$B$11*Population!N$39)+Y48*Population!$L$40</f>
        <v>74.103772555173919</v>
      </c>
      <c r="AN48" s="14">
        <f>(AL47*Population!$B$12*Population!N$39)+(AN47*Population!$B$11*Population!N$41)+Y48*Population!$L$41</f>
        <v>78.529487853602248</v>
      </c>
      <c r="AO48" s="13">
        <f>(AM47*Population!$B$12*Population!N$39)+(AO47*Population!$B$11*Population!N$41)+Y48*Population!$L$42</f>
        <v>73.307767882081606</v>
      </c>
      <c r="AP48" s="15">
        <f>(AN47+AO47)*Population!$B$12*Population!$N$41+AP47*Population!$B$11*Population!$N$43</f>
        <v>145.56541472195605</v>
      </c>
      <c r="AQ48" s="5">
        <f>AP47*Population!N$43*Population!$B$12+AQ47*Population!$B$11*Population!N$44</f>
        <v>133.11156038784202</v>
      </c>
      <c r="AR48" s="5">
        <f>AQ47*Population!N$44*Population!$B$12+AR47*Population!$B$11*Population!N$45</f>
        <v>94.372179731066879</v>
      </c>
      <c r="AS48" s="5">
        <f>(AR47*Population!$B$12+AS47)*Population!N$46</f>
        <v>143.86405106043779</v>
      </c>
    </row>
    <row r="49" spans="1:45">
      <c r="A49">
        <f>A48+Population!$B$2</f>
        <v>46</v>
      </c>
      <c r="B49" s="4">
        <f t="shared" si="4"/>
        <v>1783</v>
      </c>
      <c r="C49" s="54">
        <f t="shared" si="21"/>
        <v>741</v>
      </c>
      <c r="D49" s="12">
        <f>AE48*Population!$Q$32*Population!$C$2+AG48*Population!$Q$34*Population!$C$2+AI48*Population!$Q$36*Population!$C$2+AK48*Population!$Q$38*Population!$C$2+AM48*Population!$Q$40*Population!$C$2+AO47*Population!$Q$42*Population!$C$2</f>
        <v>25.541159949713922</v>
      </c>
      <c r="E49" s="12">
        <f>IF(B48&gt;Population!$B$6*Population!$B$15,Population!$B$8,IF(Population!$J$6=1,D49,Population!$B$8*Population!$B$6*0.9/B48))</f>
        <v>23.761836638153017</v>
      </c>
      <c r="F49" s="12">
        <f>IF(B48&gt;Population!$B$6*0.75,Population!$B$8,E49)</f>
        <v>23.761836638153017</v>
      </c>
      <c r="G49" s="15">
        <f>IF(Population!$J$6=1,IF(E49&gt;H48,H48,E49),IF(E49&gt;X48,X48,E49))</f>
        <v>23.761836638153017</v>
      </c>
      <c r="H49" s="15">
        <f t="shared" si="22"/>
        <v>378</v>
      </c>
      <c r="I49" s="15">
        <f t="shared" si="23"/>
        <v>493</v>
      </c>
      <c r="J49" s="12">
        <f t="shared" si="18"/>
        <v>1.3042328042328042</v>
      </c>
      <c r="K49" s="12">
        <f>AB49*Population!$P$29+AC49*Population!$P$30+AD49*Population!$P$31+AE49*Population!$P$32+AF49*Population!$P$33+AG49*Population!$P$34+AH49*Population!$P$35+AI49*Population!$P$36+AJ49*Population!$P$37+AK49*Population!$P$38+AL49*Population!$P$37+AM49*Population!$P$38+AN49*Population!$P$39+AO49*Population!$P$40+AP49*Population!$P$41+AQ49*Population!$P$42+AR49*Population!$P$43+AS49*Population!$P$44</f>
        <v>3.8888076449450057</v>
      </c>
      <c r="L49" s="12">
        <f t="shared" si="7"/>
        <v>6.2862001688235497E-2</v>
      </c>
      <c r="M49" s="12">
        <f t="shared" si="24"/>
        <v>11.033808074370762</v>
      </c>
      <c r="N49" s="12">
        <f t="shared" si="19"/>
        <v>0.27650028042624791</v>
      </c>
      <c r="O49" s="12">
        <f t="shared" si="9"/>
        <v>625.92757271936057</v>
      </c>
      <c r="P49" s="12">
        <f t="shared" si="10"/>
        <v>206</v>
      </c>
      <c r="Q49" s="12">
        <f t="shared" si="11"/>
        <v>126.03621364031972</v>
      </c>
      <c r="R49" s="12">
        <f t="shared" si="12"/>
        <v>143.86405106043779</v>
      </c>
      <c r="S49" s="12">
        <f t="shared" si="25"/>
        <v>8.3789501772061917E-2</v>
      </c>
      <c r="T49" s="12">
        <f t="shared" si="20"/>
        <v>0.87840268158814738</v>
      </c>
      <c r="U49" s="12">
        <f>Population!$B$13*MIN(Z48:AA48)</f>
        <v>11.58630520928115</v>
      </c>
      <c r="V49" s="12">
        <f>X48*Population!$B$14</f>
        <v>1.9899160612872919</v>
      </c>
      <c r="W49" s="12">
        <f>AO48*T48*Population!$B$12</f>
        <v>9.2128523888894076</v>
      </c>
      <c r="X49" s="12">
        <f t="shared" si="17"/>
        <v>332.03621364031972</v>
      </c>
      <c r="Y49" s="12">
        <f>IF(B48&lt;Vehicle!$B$1*0.75,Vehicle!$B$1*0.01,0)</f>
        <v>0</v>
      </c>
      <c r="Z49" s="14">
        <f t="shared" si="26"/>
        <v>54.909676585753289</v>
      </c>
      <c r="AA49" s="13">
        <f t="shared" si="27"/>
        <v>46.443572450694376</v>
      </c>
      <c r="AB49" s="18">
        <f>(G49+Population!$B$11*AB48)*Population!N$29</f>
        <v>165.76441679730681</v>
      </c>
      <c r="AC49" s="18">
        <f>AB48*Population!$B$12*Population!$N$29+AC48*Population!$B$11*Population!$N$30+Y49*Population!$L$30</f>
        <v>164.97926231490555</v>
      </c>
      <c r="AD49" s="14">
        <f>(AC48*Population!$B$12*0.5*Population!$N$30)+(AD48*Population!$B$11*Population!N$31)+Y49*Population!$L$31</f>
        <v>81.277263949682663</v>
      </c>
      <c r="AE49" s="13">
        <f>(AC48*Population!$B$12*0.5*Population!$N$30)+(AE48*Population!$B$11*Population!N$31)+Y49*Population!$L$32</f>
        <v>81.277263949682663</v>
      </c>
      <c r="AF49" s="14">
        <f>(AD48*Population!$B$12*Population!N$31)+(AF48*Population!$B$11*Population!N$33)+Y49*Population!$L$33</f>
        <v>79.365382148906818</v>
      </c>
      <c r="AG49" s="13">
        <f>(AE48*Population!$B$12*Population!N$31)+(AG48*Population!$B$11*Population!N$33)+Y49*Population!$L$34</f>
        <v>79.338086141989336</v>
      </c>
      <c r="AH49" s="14">
        <f>(AF48*Population!$B$12*Population!N$33)+(AH48*Population!$B$11*Population!N$35)+Y49*Population!$L$35</f>
        <v>77.036666786792395</v>
      </c>
      <c r="AI49" s="13">
        <f>(AG48*Population!$B$12*Population!N$33)+(AI48*Population!$B$11*Population!N$35)+Y49*Population!$L$36</f>
        <v>76.81286892275665</v>
      </c>
      <c r="AJ49" s="14">
        <f>(AH48*Population!$B$12*Population!N$35)+(AJ48*Population!$B$11*Population!N$37)+Y49*Population!$L$37</f>
        <v>75.890280092574287</v>
      </c>
      <c r="AK49" s="13">
        <f>(AI48*Population!$B$12*Population!N$35)+(AK48*Population!$B$11*Population!N$37)+Y49*Population!$L$38</f>
        <v>74.97665503055255</v>
      </c>
      <c r="AL49" s="14">
        <f>(AJ48*Population!$B$12*Population!N$37)+(AL48*Population!$B$11*Population!N$39)+Y49*Population!$L$39</f>
        <v>76.521875653182661</v>
      </c>
      <c r="AM49" s="13">
        <f>(AK48*Population!$B$12*Population!N$37)+(AM48*Population!$B$11*Population!N$39)+Y49*Population!$L$40</f>
        <v>74.071662407378994</v>
      </c>
      <c r="AN49" s="14">
        <f>(AL48*Population!$B$12*Population!N$39)+(AN48*Population!$B$11*Population!N$41)+Y49*Population!$L$41</f>
        <v>78.131685544616786</v>
      </c>
      <c r="AO49" s="13">
        <f>(AM48*Population!$B$12*Population!N$39)+(AO48*Population!$B$11*Population!N$41)+Y49*Population!$L$42</f>
        <v>73.280513588336575</v>
      </c>
      <c r="AP49" s="15">
        <f>(AN48+AO48)*Population!$B$12*Population!$N$41+AP48*Population!$B$11*Population!$N$43</f>
        <v>145.51516014228608</v>
      </c>
      <c r="AQ49" s="5">
        <f>AP48*Population!N$43*Population!$B$12+AQ48*Population!$B$11*Population!N$44</f>
        <v>133.91272498791471</v>
      </c>
      <c r="AR49" s="5">
        <f>AQ48*Population!N$44*Population!$B$12+AR48*Population!$B$11*Population!N$45</f>
        <v>95.681926405907205</v>
      </c>
      <c r="AS49" s="5">
        <f>(AR48*Population!$B$12+AS48)*Population!N$46</f>
        <v>149.39668165958639</v>
      </c>
    </row>
    <row r="50" spans="1:45">
      <c r="A50">
        <f>A49+Population!$B$2</f>
        <v>47</v>
      </c>
      <c r="B50" s="4">
        <f t="shared" si="4"/>
        <v>1790</v>
      </c>
      <c r="C50" s="54">
        <f t="shared" si="21"/>
        <v>741</v>
      </c>
      <c r="D50" s="12">
        <f>AE49*Population!$Q$32*Population!$C$2+AG49*Population!$Q$34*Population!$C$2+AI49*Population!$Q$36*Population!$C$2+AK49*Population!$Q$38*Population!$C$2+AM49*Population!$Q$40*Population!$C$2+AO48*Population!$Q$42*Population!$C$2</f>
        <v>25.588560334176822</v>
      </c>
      <c r="E50" s="12">
        <f>IF(B49&gt;Population!$B$6*Population!$B$15,Population!$B$8,IF(Population!$J$6=1,D50,Population!$B$8*Population!$B$6*0.9/B49))</f>
        <v>23.761836638153017</v>
      </c>
      <c r="F50" s="12">
        <f>IF(B49&gt;Population!$B$6*0.75,Population!$B$8,E50)</f>
        <v>23.761836638153017</v>
      </c>
      <c r="G50" s="15">
        <f>IF(Population!$J$6=1,IF(E50&gt;H49,H49,E50),IF(E50&gt;X49,X49,E50))</f>
        <v>23.761836638153017</v>
      </c>
      <c r="H50" s="15">
        <f t="shared" si="22"/>
        <v>378</v>
      </c>
      <c r="I50" s="15">
        <f t="shared" si="23"/>
        <v>493</v>
      </c>
      <c r="J50" s="12">
        <f t="shared" si="18"/>
        <v>1.3042328042328042</v>
      </c>
      <c r="K50" s="12">
        <f>AB50*Population!$P$29+AC50*Population!$P$30+AD50*Population!$P$31+AE50*Population!$P$32+AF50*Population!$P$33+AG50*Population!$P$34+AH50*Population!$P$35+AI50*Population!$P$36+AJ50*Population!$P$37+AK50*Population!$P$38+AL50*Population!$P$37+AM50*Population!$P$38+AN50*Population!$P$39+AO50*Population!$P$40+AP50*Population!$P$41+AQ50*Population!$P$42+AR50*Population!$P$43+AS50*Population!$P$44</f>
        <v>3.9382305044919015</v>
      </c>
      <c r="L50" s="12">
        <f t="shared" si="7"/>
        <v>6.2862001688235497E-2</v>
      </c>
      <c r="M50" s="12">
        <f t="shared" si="24"/>
        <v>11.056489171723236</v>
      </c>
      <c r="N50" s="12">
        <f t="shared" si="19"/>
        <v>0.27541899441340784</v>
      </c>
      <c r="O50" s="12">
        <f t="shared" si="9"/>
        <v>632.08159238459768</v>
      </c>
      <c r="P50" s="12">
        <f t="shared" si="10"/>
        <v>206</v>
      </c>
      <c r="Q50" s="12">
        <f t="shared" si="11"/>
        <v>126.45920380770116</v>
      </c>
      <c r="R50" s="12">
        <f t="shared" si="12"/>
        <v>149.39668165958639</v>
      </c>
      <c r="S50" s="12">
        <f t="shared" si="25"/>
        <v>8.6495786480358286E-2</v>
      </c>
      <c r="T50" s="12">
        <f t="shared" si="20"/>
        <v>0.87952170319497658</v>
      </c>
      <c r="U50" s="12">
        <f>Population!$B$13*MIN(Z49:AA49)</f>
        <v>11.610893112673594</v>
      </c>
      <c r="V50" s="12">
        <f>X49*Population!$B$14</f>
        <v>1.9922172818419184</v>
      </c>
      <c r="W50" s="12">
        <f>AO49*T49*Population!$B$12</f>
        <v>9.1956856634502149</v>
      </c>
      <c r="X50" s="12">
        <f t="shared" si="17"/>
        <v>332.45920380770116</v>
      </c>
      <c r="Y50" s="12">
        <f>IF(B49&lt;Vehicle!$B$1*0.75,Vehicle!$B$1*0.01,0)</f>
        <v>0</v>
      </c>
      <c r="Z50" s="14">
        <f t="shared" si="26"/>
        <v>54.28023006349963</v>
      </c>
      <c r="AA50" s="13">
        <f t="shared" si="27"/>
        <v>46.522048411159119</v>
      </c>
      <c r="AB50" s="18">
        <f>(G50+Population!$B$11*AB49)*Population!N$29</f>
        <v>165.77828914169547</v>
      </c>
      <c r="AC50" s="18">
        <f>AB49*Population!$B$12*Population!$N$29+AC49*Population!$B$11*Population!$N$30+Y50*Population!$L$30</f>
        <v>165.0499954756279</v>
      </c>
      <c r="AD50" s="14">
        <f>(AC49*Population!$B$12*0.5*Population!$N$30)+(AD49*Population!$B$11*Population!N$31)+Y50*Population!$L$31</f>
        <v>81.381415899039155</v>
      </c>
      <c r="AE50" s="13">
        <f>(AC49*Population!$B$12*0.5*Population!$N$30)+(AE49*Population!$B$11*Population!N$31)+Y50*Population!$L$32</f>
        <v>81.381415899039155</v>
      </c>
      <c r="AF50" s="14">
        <f>(AD49*Population!$B$12*Population!N$31)+(AF49*Population!$B$11*Population!N$33)+Y50*Population!$L$33</f>
        <v>79.562612622207439</v>
      </c>
      <c r="AG50" s="13">
        <f>(AE49*Population!$B$12*Population!N$31)+(AG49*Population!$B$11*Population!N$33)+Y50*Population!$L$34</f>
        <v>79.539238341787822</v>
      </c>
      <c r="AH50" s="14">
        <f>(AF49*Population!$B$12*Population!N$33)+(AH49*Population!$B$11*Population!N$35)+Y50*Population!$L$35</f>
        <v>77.231755037012775</v>
      </c>
      <c r="AI50" s="13">
        <f>(AG49*Population!$B$12*Population!N$33)+(AI49*Population!$B$11*Population!N$35)+Y50*Population!$L$36</f>
        <v>77.036400890349398</v>
      </c>
      <c r="AJ50" s="14">
        <f>(AH49*Population!$B$12*Population!N$35)+(AJ49*Population!$B$11*Population!N$37)+Y50*Population!$L$37</f>
        <v>75.908025845048712</v>
      </c>
      <c r="AK50" s="13">
        <f>(AI49*Population!$B$12*Population!N$35)+(AK49*Population!$B$11*Population!N$37)+Y50*Population!$L$38</f>
        <v>75.094512475969751</v>
      </c>
      <c r="AL50" s="14">
        <f>(AJ49*Population!$B$12*Population!N$37)+(AL49*Population!$B$11*Population!N$39)+Y50*Population!$L$39</f>
        <v>76.284898952338253</v>
      </c>
      <c r="AM50" s="13">
        <f>(AK49*Population!$B$12*Population!N$37)+(AM49*Population!$B$11*Population!N$39)+Y50*Population!$L$40</f>
        <v>74.058481249462119</v>
      </c>
      <c r="AN50" s="14">
        <f>(AL49*Population!$B$12*Population!N$39)+(AN49*Population!$B$11*Population!N$41)+Y50*Population!$L$41</f>
        <v>77.752141414593609</v>
      </c>
      <c r="AO50" s="13">
        <f>(AM49*Population!$B$12*Population!N$39)+(AO49*Population!$B$11*Population!N$41)+Y50*Population!$L$42</f>
        <v>73.252619261291244</v>
      </c>
      <c r="AP50" s="15">
        <f>(AN49+AO49)*Population!$B$12*Population!$N$41+AP49*Population!$B$11*Population!$N$43</f>
        <v>145.41179129973503</v>
      </c>
      <c r="AQ50" s="5">
        <f>AP49*Population!N$43*Population!$B$12+AQ49*Population!$B$11*Population!N$44</f>
        <v>134.58733166025263</v>
      </c>
      <c r="AR50" s="5">
        <f>AQ49*Population!N$44*Population!$B$12+AR49*Population!$B$11*Population!N$45</f>
        <v>96.861472947862424</v>
      </c>
      <c r="AS50" s="5">
        <f>(AR49*Population!$B$12+AS49)*Population!N$46</f>
        <v>154.82745779984134</v>
      </c>
    </row>
    <row r="51" spans="1:45">
      <c r="A51">
        <f>A50+Population!$B$2</f>
        <v>48</v>
      </c>
      <c r="B51" s="4">
        <f t="shared" si="4"/>
        <v>1798</v>
      </c>
      <c r="C51" s="54">
        <f t="shared" si="21"/>
        <v>742</v>
      </c>
      <c r="D51" s="12">
        <f>AE50*Population!$Q$32*Population!$C$2+AG50*Population!$Q$34*Population!$C$2+AI50*Population!$Q$36*Population!$C$2+AK50*Population!$Q$38*Population!$C$2+AM50*Population!$Q$40*Population!$C$2+AO49*Population!$Q$42*Population!$C$2</f>
        <v>25.636381191398044</v>
      </c>
      <c r="E51" s="12">
        <f>IF(B50&gt;Population!$B$6*Population!$B$15,Population!$B$8,IF(Population!$J$6=1,D51,Population!$B$8*Population!$B$6*0.9/B50))</f>
        <v>23.761836638153017</v>
      </c>
      <c r="F51" s="12">
        <f>IF(B50&gt;Population!$B$6*0.75,Population!$B$8,E51)</f>
        <v>23.761836638153017</v>
      </c>
      <c r="G51" s="15">
        <f>IF(Population!$J$6=1,IF(E51&gt;H50,H50,E51),IF(E51&gt;X50,X50,E51))</f>
        <v>23.761836638153017</v>
      </c>
      <c r="H51" s="15">
        <f t="shared" si="22"/>
        <v>379</v>
      </c>
      <c r="I51" s="15">
        <f t="shared" si="23"/>
        <v>493</v>
      </c>
      <c r="J51" s="12">
        <f t="shared" si="18"/>
        <v>1.3007915567282322</v>
      </c>
      <c r="K51" s="12">
        <f>AB51*Population!$P$29+AC51*Population!$P$30+AD51*Population!$P$31+AE51*Population!$P$32+AF51*Population!$P$33+AG51*Population!$P$34+AH51*Population!$P$35+AI51*Population!$P$36+AJ51*Population!$P$37+AK51*Population!$P$38+AL51*Population!$P$37+AM51*Population!$P$38+AN51*Population!$P$39+AO51*Population!$P$40+AP51*Population!$P$41+AQ51*Population!$P$42+AR51*Population!$P$43+AS51*Population!$P$44</f>
        <v>3.9857959917661145</v>
      </c>
      <c r="L51" s="12">
        <f t="shared" si="7"/>
        <v>6.2696138886947278E-2</v>
      </c>
      <c r="M51" s="12">
        <f t="shared" si="24"/>
        <v>11.079383385306411</v>
      </c>
      <c r="N51" s="12">
        <f t="shared" si="19"/>
        <v>0.27419354838709675</v>
      </c>
      <c r="O51" s="12">
        <f t="shared" si="9"/>
        <v>639.21786961219163</v>
      </c>
      <c r="P51" s="12">
        <f t="shared" si="10"/>
        <v>206</v>
      </c>
      <c r="Q51" s="12">
        <f t="shared" si="11"/>
        <v>126.89106519390418</v>
      </c>
      <c r="R51" s="12">
        <f t="shared" si="12"/>
        <v>154.82745779984134</v>
      </c>
      <c r="S51" s="12">
        <f t="shared" si="25"/>
        <v>8.9067777988009675E-2</v>
      </c>
      <c r="T51" s="12">
        <f t="shared" si="20"/>
        <v>0.8783405414087182</v>
      </c>
      <c r="U51" s="12">
        <f>Population!$B$13*MIN(Z50:AA50)</f>
        <v>11.63051210278978</v>
      </c>
      <c r="V51" s="12">
        <f>X50*Population!$B$14</f>
        <v>1.9947552228462071</v>
      </c>
      <c r="W51" s="12">
        <f>AO50*T50*Population!$B$12</f>
        <v>9.2038954937405748</v>
      </c>
      <c r="X51" s="12">
        <f t="shared" si="17"/>
        <v>332.89106519390418</v>
      </c>
      <c r="Y51" s="12">
        <f>IF(B50&lt;Vehicle!$B$1*0.75,Vehicle!$B$1*0.01,0)</f>
        <v>0</v>
      </c>
      <c r="Z51" s="14">
        <f t="shared" si="26"/>
        <v>53.711480597328091</v>
      </c>
      <c r="AA51" s="13">
        <f t="shared" si="27"/>
        <v>46.60972677522642</v>
      </c>
      <c r="AB51" s="18">
        <f>(G51+Population!$B$11*AB50)*Population!N$29</f>
        <v>165.79017489502419</v>
      </c>
      <c r="AC51" s="18">
        <f>AB50*Population!$B$12*Population!$N$29+AC50*Population!$B$11*Population!$N$30+Y51*Population!$L$30</f>
        <v>165.11259121659705</v>
      </c>
      <c r="AD51" s="14">
        <f>(AC50*Population!$B$12*0.5*Population!$N$30)+(AD50*Population!$B$11*Population!N$31)+Y51*Population!$L$31</f>
        <v>81.475655153063897</v>
      </c>
      <c r="AE51" s="13">
        <f>(AC50*Population!$B$12*0.5*Population!$N$30)+(AE50*Population!$B$11*Population!N$31)+Y51*Population!$L$32</f>
        <v>81.475655153063897</v>
      </c>
      <c r="AF51" s="14">
        <f>(AD50*Population!$B$12*Population!N$31)+(AF50*Population!$B$11*Population!N$33)+Y51*Population!$L$33</f>
        <v>79.746370874851181</v>
      </c>
      <c r="AG51" s="13">
        <f>(AE50*Population!$B$12*Population!N$31)+(AG50*Population!$B$11*Population!N$33)+Y51*Population!$L$34</f>
        <v>79.72635487079657</v>
      </c>
      <c r="AH51" s="14">
        <f>(AF50*Population!$B$12*Population!N$33)+(AH50*Population!$B$11*Population!N$35)+Y51*Population!$L$35</f>
        <v>77.426801408061237</v>
      </c>
      <c r="AI51" s="13">
        <f>(AG50*Population!$B$12*Population!N$33)+(AI50*Population!$B$11*Population!N$35)+Y51*Population!$L$36</f>
        <v>77.256340493069658</v>
      </c>
      <c r="AJ51" s="14">
        <f>(AH50*Population!$B$12*Population!N$35)+(AJ50*Population!$B$11*Population!N$37)+Y51*Population!$L$37</f>
        <v>75.951023525699867</v>
      </c>
      <c r="AK51" s="13">
        <f>(AI50*Population!$B$12*Population!N$35)+(AK50*Population!$B$11*Population!N$37)+Y51*Population!$L$38</f>
        <v>75.227211010390761</v>
      </c>
      <c r="AL51" s="14">
        <f>(AJ50*Population!$B$12*Population!N$37)+(AL50*Population!$B$11*Population!N$39)+Y51*Population!$L$39</f>
        <v>76.084696301932127</v>
      </c>
      <c r="AM51" s="13">
        <f>(AK50*Population!$B$12*Population!N$37)+(AM50*Population!$B$11*Population!N$39)+Y51*Population!$L$40</f>
        <v>74.064009257827834</v>
      </c>
      <c r="AN51" s="14">
        <f>(AL50*Population!$B$12*Population!N$39)+(AN50*Population!$B$11*Population!N$41)+Y51*Population!$L$41</f>
        <v>77.393653680687891</v>
      </c>
      <c r="AO51" s="13">
        <f>(AM50*Population!$B$12*Population!N$39)+(AO50*Population!$B$11*Population!N$41)+Y51*Population!$L$42</f>
        <v>73.226876337045795</v>
      </c>
      <c r="AP51" s="15">
        <f>(AN50+AO50)*Population!$B$12*Population!$N$41+AP50*Population!$B$11*Population!$N$43</f>
        <v>145.26573805889413</v>
      </c>
      <c r="AQ51" s="5">
        <f>AP50*Population!N$43*Population!$B$12+AQ50*Population!$B$11*Population!N$44</f>
        <v>135.14671383530097</v>
      </c>
      <c r="AR51" s="5">
        <f>AQ50*Population!N$44*Population!$B$12+AR50*Population!$B$11*Population!N$45</f>
        <v>97.917108787562057</v>
      </c>
      <c r="AS51" s="5">
        <f>(AR50*Population!$B$12+AS50)*Population!N$46</f>
        <v>160.1438648224414</v>
      </c>
    </row>
    <row r="52" spans="1:45">
      <c r="A52">
        <f>A51+Population!$B$2</f>
        <v>49</v>
      </c>
      <c r="B52" s="4">
        <f t="shared" si="4"/>
        <v>1805</v>
      </c>
      <c r="C52" s="54">
        <f t="shared" si="21"/>
        <v>742</v>
      </c>
      <c r="D52" s="12">
        <f>AE51*Population!$Q$32*Population!$C$2+AG51*Population!$Q$34*Population!$C$2+AI51*Population!$Q$36*Population!$C$2+AK51*Population!$Q$38*Population!$C$2+AM51*Population!$Q$40*Population!$C$2+AO50*Population!$Q$42*Population!$C$2</f>
        <v>25.684361849825837</v>
      </c>
      <c r="E52" s="12">
        <f>IF(B51&gt;Population!$B$6*Population!$B$15,Population!$B$8,IF(Population!$J$6=1,D52,Population!$B$8*Population!$B$6*0.9/B51))</f>
        <v>23.761836638153017</v>
      </c>
      <c r="F52" s="12">
        <f>IF(B51&gt;Population!$B$6*0.75,Population!$B$8,E52)</f>
        <v>23.761836638153017</v>
      </c>
      <c r="G52" s="15">
        <f>IF(Population!$J$6=1,IF(E52&gt;H51,H51,E52),IF(E52&gt;X51,X51,E52))</f>
        <v>23.761836638153017</v>
      </c>
      <c r="H52" s="15">
        <f t="shared" si="22"/>
        <v>380</v>
      </c>
      <c r="I52" s="15">
        <f t="shared" si="23"/>
        <v>494</v>
      </c>
      <c r="J52" s="12">
        <f t="shared" si="18"/>
        <v>1.3</v>
      </c>
      <c r="K52" s="12">
        <f>AB52*Population!$P$29+AC52*Population!$P$30+AD52*Population!$P$31+AE52*Population!$P$32+AF52*Population!$P$33+AG52*Population!$P$34+AH52*Population!$P$35+AI52*Population!$P$36+AJ52*Population!$P$37+AK52*Population!$P$38+AL52*Population!$P$37+AM52*Population!$P$38+AN52*Population!$P$39+AO52*Population!$P$40+AP52*Population!$P$41+AQ52*Population!$P$42+AR52*Population!$P$43+AS52*Population!$P$44</f>
        <v>4.0315015085530463</v>
      </c>
      <c r="L52" s="12">
        <f t="shared" si="7"/>
        <v>6.2531149047771101E-2</v>
      </c>
      <c r="M52" s="12">
        <f t="shared" si="24"/>
        <v>11.102286194588247</v>
      </c>
      <c r="N52" s="12">
        <f t="shared" si="19"/>
        <v>0.27368421052631581</v>
      </c>
      <c r="O52" s="12">
        <f t="shared" si="9"/>
        <v>644.28430878049107</v>
      </c>
      <c r="P52" s="12">
        <f t="shared" si="10"/>
        <v>206</v>
      </c>
      <c r="Q52" s="12">
        <f t="shared" si="11"/>
        <v>127.35784560975446</v>
      </c>
      <c r="R52" s="12">
        <f t="shared" si="12"/>
        <v>160.1438648224414</v>
      </c>
      <c r="S52" s="12">
        <f t="shared" si="25"/>
        <v>9.1598267815820825E-2</v>
      </c>
      <c r="T52" s="12">
        <f t="shared" si="20"/>
        <v>0.87725748844672224</v>
      </c>
      <c r="U52" s="12">
        <f>Population!$B$13*MIN(Z51:AA51)</f>
        <v>11.652431693806605</v>
      </c>
      <c r="V52" s="12">
        <f>X51*Population!$B$14</f>
        <v>1.9973463911634251</v>
      </c>
      <c r="W52" s="12">
        <f>AO51*T51*Population!$B$12</f>
        <v>9.1883048867928654</v>
      </c>
      <c r="X52" s="12">
        <f t="shared" si="17"/>
        <v>333.35784560975446</v>
      </c>
      <c r="Y52" s="12">
        <f>IF(B51&lt;Vehicle!$B$1*0.75,Vehicle!$B$1*0.01,0)</f>
        <v>0</v>
      </c>
      <c r="Z52" s="14">
        <f t="shared" si="26"/>
        <v>53.172816746777812</v>
      </c>
      <c r="AA52" s="13">
        <f t="shared" si="27"/>
        <v>46.67878995527326</v>
      </c>
      <c r="AB52" s="18">
        <f>(G52+Population!$B$11*AB51)*Population!N$29</f>
        <v>165.8003585473495</v>
      </c>
      <c r="AC52" s="18">
        <f>AB51*Population!$B$12*Population!$N$29+AC51*Population!$B$11*Population!$N$30+Y52*Population!$L$30</f>
        <v>165.16792991220811</v>
      </c>
      <c r="AD52" s="14">
        <f>(AC51*Population!$B$12*0.5*Population!$N$30)+(AD51*Population!$B$11*Population!N$31)+Y52*Population!$L$31</f>
        <v>81.560824794857837</v>
      </c>
      <c r="AE52" s="13">
        <f>(AC51*Population!$B$12*0.5*Population!$N$30)+(AE51*Population!$B$11*Population!N$31)+Y52*Population!$L$32</f>
        <v>81.560824794857837</v>
      </c>
      <c r="AF52" s="14">
        <f>(AD51*Population!$B$12*Population!N$31)+(AF51*Population!$B$11*Population!N$33)+Y52*Population!$L$33</f>
        <v>79.917177764878261</v>
      </c>
      <c r="AG52" s="13">
        <f>(AE51*Population!$B$12*Population!N$31)+(AG51*Population!$B$11*Population!N$33)+Y52*Population!$L$34</f>
        <v>79.900037540190183</v>
      </c>
      <c r="AH52" s="14">
        <f>(AF51*Population!$B$12*Population!N$33)+(AH51*Population!$B$11*Population!N$35)+Y52*Population!$L$35</f>
        <v>77.619889182793429</v>
      </c>
      <c r="AI52" s="13">
        <f>(AG51*Population!$B$12*Population!N$33)+(AI51*Population!$B$11*Population!N$35)+Y52*Population!$L$36</f>
        <v>77.471203652934648</v>
      </c>
      <c r="AJ52" s="14">
        <f>(AH51*Population!$B$12*Population!N$35)+(AJ51*Population!$B$11*Population!N$37)+Y52*Population!$L$37</f>
        <v>76.015618187505851</v>
      </c>
      <c r="AK52" s="13">
        <f>(AI51*Population!$B$12*Population!N$35)+(AK51*Population!$B$11*Population!N$37)+Y52*Population!$L$38</f>
        <v>75.372093844403992</v>
      </c>
      <c r="AL52" s="14">
        <f>(AJ51*Population!$B$12*Population!N$37)+(AL51*Population!$B$11*Population!N$39)+Y52*Population!$L$39</f>
        <v>75.919554238674991</v>
      </c>
      <c r="AM52" s="13">
        <f>(AK51*Population!$B$12*Population!N$37)+(AM51*Population!$B$11*Population!N$39)+Y52*Population!$L$40</f>
        <v>74.087658989366815</v>
      </c>
      <c r="AN52" s="14">
        <f>(AL51*Population!$B$12*Population!N$39)+(AN51*Population!$B$11*Population!N$41)+Y52*Population!$L$41</f>
        <v>77.058422982679744</v>
      </c>
      <c r="AO52" s="13">
        <f>(AM51*Population!$B$12*Population!N$39)+(AO51*Population!$B$11*Population!N$41)+Y52*Population!$L$42</f>
        <v>73.205641538132113</v>
      </c>
      <c r="AP52" s="15">
        <f>(AN51+AO51)*Population!$B$12*Population!$N$41+AP51*Population!$B$11*Population!$N$43</f>
        <v>145.08667247827179</v>
      </c>
      <c r="AQ52" s="5">
        <f>AP51*Population!N$43*Population!$B$12+AQ51*Population!$B$11*Population!N$44</f>
        <v>135.60199463113392</v>
      </c>
      <c r="AR52" s="5">
        <f>AQ51*Population!N$44*Population!$B$12+AR51*Population!$B$11*Population!N$45</f>
        <v>98.855559838525934</v>
      </c>
      <c r="AS52" s="5">
        <f>(AR51*Population!$B$12+AS51)*Population!N$46</f>
        <v>165.33487340755659</v>
      </c>
    </row>
    <row r="53" spans="1:45">
      <c r="A53">
        <f>A52+Population!$B$2</f>
        <v>50</v>
      </c>
      <c r="B53" s="4">
        <f t="shared" si="4"/>
        <v>1812</v>
      </c>
      <c r="C53" s="54">
        <f t="shared" si="21"/>
        <v>743</v>
      </c>
      <c r="D53" s="12">
        <f>AE52*Population!$Q$32*Population!$C$2+AG52*Population!$Q$34*Population!$C$2+AI52*Population!$Q$36*Population!$C$2+AK52*Population!$Q$38*Population!$C$2+AM52*Population!$Q$40*Population!$C$2+AO51*Population!$Q$42*Population!$C$2</f>
        <v>25.732264905306799</v>
      </c>
      <c r="E53" s="12">
        <f>IF(B52&gt;Population!$B$6*Population!$B$15,Population!$B$8,IF(Population!$J$6=1,D53,Population!$B$8*Population!$B$6*0.9/B52))</f>
        <v>23.761836638153017</v>
      </c>
      <c r="F53" s="12">
        <f>IF(B52&gt;Population!$B$6*0.75,Population!$B$8,E53)</f>
        <v>23.761836638153017</v>
      </c>
      <c r="G53" s="15">
        <f>IF(Population!$J$6=1,IF(E53&gt;H52,H52,E53),IF(E53&gt;X52,X52,E53))</f>
        <v>23.761836638153017</v>
      </c>
      <c r="H53" s="15">
        <f t="shared" si="22"/>
        <v>380</v>
      </c>
      <c r="I53" s="15">
        <f t="shared" si="23"/>
        <v>494</v>
      </c>
      <c r="J53" s="12">
        <f t="shared" si="18"/>
        <v>1.3</v>
      </c>
      <c r="K53" s="12">
        <f>AB53*Population!$P$29+AC53*Population!$P$30+AD53*Population!$P$31+AE53*Population!$P$32+AF53*Population!$P$33+AG53*Population!$P$34+AH53*Population!$P$35+AI53*Population!$P$36+AJ53*Population!$P$37+AK53*Population!$P$38+AL53*Population!$P$37+AM53*Population!$P$38+AN53*Population!$P$39+AO53*Population!$P$40+AP53*Population!$P$41+AQ53*Population!$P$42+AR53*Population!$P$43+AS53*Population!$P$44</f>
        <v>4.0753544154039512</v>
      </c>
      <c r="L53" s="12">
        <f t="shared" si="7"/>
        <v>6.2531149047771101E-2</v>
      </c>
      <c r="M53" s="12">
        <f t="shared" si="24"/>
        <v>11.125020654629497</v>
      </c>
      <c r="N53" s="12">
        <f t="shared" si="19"/>
        <v>0.27262693156732892</v>
      </c>
      <c r="O53" s="12">
        <f t="shared" si="9"/>
        <v>650.29383573184941</v>
      </c>
      <c r="P53" s="12">
        <f t="shared" si="10"/>
        <v>206</v>
      </c>
      <c r="Q53" s="12">
        <f t="shared" si="11"/>
        <v>127.85308213407529</v>
      </c>
      <c r="R53" s="12">
        <f t="shared" si="12"/>
        <v>165.33487340755659</v>
      </c>
      <c r="S53" s="12">
        <f t="shared" si="25"/>
        <v>9.4034726125554344E-2</v>
      </c>
      <c r="T53" s="12">
        <f t="shared" si="20"/>
        <v>0.8785607424580929</v>
      </c>
      <c r="U53" s="12">
        <f>Population!$B$13*MIN(Z52:AA52)</f>
        <v>11.669697488818315</v>
      </c>
      <c r="V53" s="12">
        <f>X52*Population!$B$14</f>
        <v>2.000147073658527</v>
      </c>
      <c r="W53" s="12">
        <f>AO52*T52*Population!$B$12</f>
        <v>9.1743138908389739</v>
      </c>
      <c r="X53" s="12">
        <f t="shared" si="17"/>
        <v>333.85308213407529</v>
      </c>
      <c r="Y53" s="12">
        <f>IF(B52&lt;Vehicle!$B$1*0.75,Vehicle!$B$1*0.01,0)</f>
        <v>0</v>
      </c>
      <c r="Z53" s="14">
        <f t="shared" si="26"/>
        <v>52.665953621384688</v>
      </c>
      <c r="AA53" s="13">
        <f t="shared" si="27"/>
        <v>46.733719373033239</v>
      </c>
      <c r="AB53" s="18">
        <f>(G53+Population!$B$11*AB52)*Population!N$29</f>
        <v>165.80908384828876</v>
      </c>
      <c r="AC53" s="18">
        <f>AB52*Population!$B$12*Population!$N$29+AC52*Population!$B$11*Population!$N$30+Y53*Population!$L$30</f>
        <v>165.21680662423523</v>
      </c>
      <c r="AD53" s="14">
        <f>(AC52*Population!$B$12*0.5*Population!$N$30)+(AD52*Population!$B$11*Population!N$31)+Y53*Population!$L$31</f>
        <v>81.637709648137005</v>
      </c>
      <c r="AE53" s="13">
        <f>(AC52*Population!$B$12*0.5*Population!$N$30)+(AE52*Population!$B$11*Population!N$31)+Y53*Population!$L$32</f>
        <v>81.637709648137005</v>
      </c>
      <c r="AF53" s="14">
        <f>(AD52*Population!$B$12*Population!N$31)+(AF52*Population!$B$11*Population!N$33)+Y53*Population!$L$33</f>
        <v>80.075599642234053</v>
      </c>
      <c r="AG53" s="13">
        <f>(AE52*Population!$B$12*Population!N$31)+(AG52*Population!$B$11*Population!N$33)+Y53*Population!$L$34</f>
        <v>80.06092202218781</v>
      </c>
      <c r="AH53" s="14">
        <f>(AF52*Population!$B$12*Population!N$33)+(AH52*Population!$B$11*Population!N$35)+Y53*Population!$L$35</f>
        <v>77.809452952549023</v>
      </c>
      <c r="AI53" s="13">
        <f>(AG52*Population!$B$12*Population!N$33)+(AI52*Population!$B$11*Population!N$35)+Y53*Population!$L$36</f>
        <v>77.67980663656293</v>
      </c>
      <c r="AJ53" s="14">
        <f>(AH52*Population!$B$12*Population!N$35)+(AJ52*Population!$B$11*Population!N$37)+Y53*Population!$L$37</f>
        <v>76.098409742725366</v>
      </c>
      <c r="AK53" s="13">
        <f>(AI52*Population!$B$12*Population!N$35)+(AK52*Population!$B$11*Population!N$37)+Y53*Population!$L$38</f>
        <v>75.52667649817964</v>
      </c>
      <c r="AL53" s="14">
        <f>(AJ52*Population!$B$12*Population!N$37)+(AL52*Population!$B$11*Population!N$39)+Y53*Population!$L$39</f>
        <v>75.787485766829462</v>
      </c>
      <c r="AM53" s="13">
        <f>(AK52*Population!$B$12*Population!N$37)+(AM52*Population!$B$11*Population!N$39)+Y53*Population!$L$40</f>
        <v>74.1285490755523</v>
      </c>
      <c r="AN53" s="14">
        <f>(AL52*Population!$B$12*Population!N$39)+(AN52*Population!$B$11*Population!N$41)+Y53*Population!$L$41</f>
        <v>76.748087651122106</v>
      </c>
      <c r="AO53" s="13">
        <f>(AM52*Population!$B$12*Population!N$39)+(AO52*Population!$B$11*Population!N$41)+Y53*Population!$L$42</f>
        <v>73.19084727462581</v>
      </c>
      <c r="AP53" s="15">
        <f>(AN52+AO52)*Population!$B$12*Population!$N$41+AP52*Population!$B$11*Population!$N$43</f>
        <v>144.88347459053685</v>
      </c>
      <c r="AQ53" s="5">
        <f>AP52*Population!N$43*Population!$B$12+AQ52*Population!$B$11*Population!N$44</f>
        <v>135.96401073187909</v>
      </c>
      <c r="AR53" s="5">
        <f>AQ52*Population!N$44*Population!$B$12+AR52*Population!$B$11*Population!N$45</f>
        <v>99.683877414708547</v>
      </c>
      <c r="AS53" s="5">
        <f>(AR52*Population!$B$12+AS52)*Population!N$46</f>
        <v>170.39092373950447</v>
      </c>
    </row>
    <row r="54" spans="1:45">
      <c r="A54">
        <f>A53+Population!$B$2</f>
        <v>51</v>
      </c>
      <c r="B54" s="4">
        <f t="shared" si="4"/>
        <v>1818</v>
      </c>
      <c r="C54" s="54">
        <f t="shared" si="21"/>
        <v>743</v>
      </c>
      <c r="D54" s="12">
        <f>AE53*Population!$Q$32*Population!$C$2+AG53*Population!$Q$34*Population!$C$2+AI53*Population!$Q$36*Population!$C$2+AK53*Population!$Q$38*Population!$C$2+AM53*Population!$Q$40*Population!$C$2+AO52*Population!$Q$42*Population!$C$2</f>
        <v>25.779875697384366</v>
      </c>
      <c r="E54" s="12">
        <f>IF(B53&gt;Population!$B$6*Population!$B$15,Population!$B$8,IF(Population!$J$6=1,D54,Population!$B$8*Population!$B$6*0.9/B53))</f>
        <v>23.761836638153017</v>
      </c>
      <c r="F54" s="12">
        <f>IF(B53&gt;Population!$B$6*0.75,Population!$B$8,E54)</f>
        <v>23.761836638153017</v>
      </c>
      <c r="G54" s="15">
        <f>IF(Population!$J$6=1,IF(E54&gt;H53,H53,E54),IF(E54&gt;X53,X53,E54))</f>
        <v>23.761836638153017</v>
      </c>
      <c r="H54" s="15">
        <f t="shared" si="22"/>
        <v>381</v>
      </c>
      <c r="I54" s="15">
        <f t="shared" si="23"/>
        <v>494</v>
      </c>
      <c r="J54" s="12">
        <f t="shared" si="18"/>
        <v>1.2965879265091864</v>
      </c>
      <c r="K54" s="12">
        <f>AB54*Population!$P$29+AC54*Population!$P$30+AD54*Population!$P$31+AE54*Population!$P$32+AF54*Population!$P$33+AG54*Population!$P$34+AH54*Population!$P$35+AI54*Population!$P$36+AJ54*Population!$P$37+AK54*Population!$P$38+AL54*Population!$P$37+AM54*Population!$P$38+AN54*Population!$P$39+AO54*Population!$P$40+AP54*Population!$P$41+AQ54*Population!$P$42+AR54*Population!$P$43+AS54*Population!$P$44</f>
        <v>4.1173711776414841</v>
      </c>
      <c r="L54" s="12">
        <f t="shared" si="7"/>
        <v>6.2367025296989544E-2</v>
      </c>
      <c r="M54" s="12">
        <f t="shared" si="24"/>
        <v>11.147435498855291</v>
      </c>
      <c r="N54" s="12">
        <f t="shared" si="19"/>
        <v>0.2717271727172717</v>
      </c>
      <c r="O54" s="12">
        <f t="shared" si="9"/>
        <v>655.30538592315088</v>
      </c>
      <c r="P54" s="12">
        <f t="shared" si="10"/>
        <v>206</v>
      </c>
      <c r="Q54" s="12">
        <f t="shared" si="11"/>
        <v>128.34730703842456</v>
      </c>
      <c r="R54" s="12">
        <f t="shared" si="12"/>
        <v>170.39092373950447</v>
      </c>
      <c r="S54" s="12">
        <f t="shared" si="25"/>
        <v>9.6426785151108793E-2</v>
      </c>
      <c r="T54" s="12">
        <f t="shared" si="20"/>
        <v>0.87755198697749226</v>
      </c>
      <c r="U54" s="12">
        <f>Population!$B$13*MIN(Z53:AA53)</f>
        <v>11.68342984325831</v>
      </c>
      <c r="V54" s="12">
        <f>X53*Population!$B$14</f>
        <v>2.0031184928044516</v>
      </c>
      <c r="W54" s="12">
        <f>AO53*T53*Population!$B$12</f>
        <v>9.1860864461045892</v>
      </c>
      <c r="X54" s="12">
        <f t="shared" si="17"/>
        <v>334.34730703842456</v>
      </c>
      <c r="Y54" s="12">
        <f>IF(B53&lt;Vehicle!$B$1*0.75,Vehicle!$B$1*0.01,0)</f>
        <v>0</v>
      </c>
      <c r="Z54" s="14">
        <f t="shared" si="26"/>
        <v>52.215499214383385</v>
      </c>
      <c r="AA54" s="13">
        <f t="shared" si="27"/>
        <v>46.801842158954855</v>
      </c>
      <c r="AB54" s="18">
        <f>(G54+Population!$B$11*AB53)*Population!N$29</f>
        <v>165.81655964126054</v>
      </c>
      <c r="AC54" s="18">
        <f>AB53*Population!$B$12*Population!$N$29+AC53*Population!$B$11*Population!$N$30+Y54*Population!$L$30</f>
        <v>165.25993748810214</v>
      </c>
      <c r="AD54" s="14">
        <f>(AC53*Population!$B$12*0.5*Population!$N$30)+(AD53*Population!$B$11*Population!N$31)+Y54*Population!$L$31</f>
        <v>81.707038555203766</v>
      </c>
      <c r="AE54" s="13">
        <f>(AC53*Population!$B$12*0.5*Population!$N$30)+(AE53*Population!$B$11*Population!N$31)+Y54*Population!$L$32</f>
        <v>81.707038555203766</v>
      </c>
      <c r="AF54" s="14">
        <f>(AD53*Population!$B$12*Population!N$31)+(AF53*Population!$B$11*Population!N$33)+Y54*Population!$L$33</f>
        <v>80.222233497927505</v>
      </c>
      <c r="AG54" s="13">
        <f>(AE53*Population!$B$12*Population!N$31)+(AG53*Population!$B$11*Population!N$33)+Y54*Population!$L$34</f>
        <v>80.209664670263777</v>
      </c>
      <c r="AH54" s="14">
        <f>(AF53*Population!$B$12*Population!N$33)+(AH53*Population!$B$11*Population!N$35)+Y54*Population!$L$35</f>
        <v>77.994234344722258</v>
      </c>
      <c r="AI54" s="13">
        <f>(AG53*Population!$B$12*Population!N$33)+(AI53*Population!$B$11*Population!N$35)+Y54*Population!$L$36</f>
        <v>77.881227487203589</v>
      </c>
      <c r="AJ54" s="14">
        <f>(AH53*Population!$B$12*Population!N$35)+(AJ53*Population!$B$11*Population!N$37)+Y54*Population!$L$37</f>
        <v>76.196266225570881</v>
      </c>
      <c r="AK54" s="13">
        <f>(AI53*Population!$B$12*Population!N$35)+(AK53*Population!$B$11*Population!N$37)+Y54*Population!$L$38</f>
        <v>75.688664726234222</v>
      </c>
      <c r="AL54" s="14">
        <f>(AJ53*Population!$B$12*Population!N$37)+(AL53*Population!$B$11*Population!N$39)+Y54*Population!$L$39</f>
        <v>75.686306222994602</v>
      </c>
      <c r="AM54" s="13">
        <f>(AK53*Population!$B$12*Population!N$37)+(AM53*Population!$B$11*Population!N$39)+Y54*Population!$L$40</f>
        <v>74.185571263895227</v>
      </c>
      <c r="AN54" s="14">
        <f>(AL53*Population!$B$12*Population!N$39)+(AN53*Population!$B$11*Population!N$41)+Y54*Population!$L$41</f>
        <v>76.463765961592685</v>
      </c>
      <c r="AO54" s="13">
        <f>(AM53*Population!$B$12*Population!N$39)+(AO53*Population!$B$11*Population!N$41)+Y54*Population!$L$42</f>
        <v>73.184021049782629</v>
      </c>
      <c r="AP54" s="15">
        <f>(AN53+AO53)*Population!$B$12*Population!$N$41+AP53*Population!$B$11*Population!$N$43</f>
        <v>144.66420979560331</v>
      </c>
      <c r="AQ54" s="5">
        <f>AP53*Population!N$43*Population!$B$12+AQ53*Population!$B$11*Population!N$44</f>
        <v>136.24324276059903</v>
      </c>
      <c r="AR54" s="5">
        <f>AQ53*Population!N$44*Population!$B$12+AR53*Population!$B$11*Population!N$45</f>
        <v>100.40933703148255</v>
      </c>
      <c r="AS54" s="5">
        <f>(AR53*Population!$B$12+AS53)*Population!N$46</f>
        <v>175.30389540471577</v>
      </c>
    </row>
    <row r="55" spans="1:45">
      <c r="A55">
        <f>A54+Population!$B$2</f>
        <v>52</v>
      </c>
      <c r="B55" s="4">
        <f t="shared" si="4"/>
        <v>1825</v>
      </c>
      <c r="C55" s="54">
        <f t="shared" si="21"/>
        <v>745</v>
      </c>
      <c r="D55" s="12">
        <f>AE54*Population!$Q$32*Population!$C$2+AG54*Population!$Q$34*Population!$C$2+AI54*Population!$Q$36*Population!$C$2+AK54*Population!$Q$38*Population!$C$2+AM54*Population!$Q$40*Population!$C$2+AO53*Population!$Q$42*Population!$C$2</f>
        <v>25.827001606045297</v>
      </c>
      <c r="E55" s="12">
        <f>IF(B54&gt;Population!$B$6*Population!$B$15,Population!$B$8,IF(Population!$J$6=1,D55,Population!$B$8*Population!$B$6*0.9/B54))</f>
        <v>23.761836638153017</v>
      </c>
      <c r="F55" s="12">
        <f>IF(B54&gt;Population!$B$6*0.75,Population!$B$8,E55)</f>
        <v>23.761836638153017</v>
      </c>
      <c r="G55" s="15">
        <f>IF(Population!$J$6=1,IF(E55&gt;H54,H54,E55),IF(E55&gt;X54,X54,E55))</f>
        <v>23.761836638153017</v>
      </c>
      <c r="H55" s="15">
        <f t="shared" si="22"/>
        <v>381</v>
      </c>
      <c r="I55" s="15">
        <f t="shared" si="23"/>
        <v>494</v>
      </c>
      <c r="J55" s="12">
        <f t="shared" si="18"/>
        <v>1.2965879265091864</v>
      </c>
      <c r="K55" s="12">
        <f>AB55*Population!$P$29+AC55*Population!$P$30+AD55*Population!$P$31+AE55*Population!$P$32+AF55*Population!$P$33+AG55*Population!$P$34+AH55*Population!$P$35+AI55*Population!$P$36+AJ55*Population!$P$37+AK55*Population!$P$38+AL55*Population!$P$37+AM55*Population!$P$38+AN55*Population!$P$39+AO55*Population!$P$40+AP55*Population!$P$41+AQ55*Population!$P$42+AR55*Population!$P$43+AS55*Population!$P$44</f>
        <v>4.1575765042100912</v>
      </c>
      <c r="L55" s="12">
        <f t="shared" si="7"/>
        <v>6.2367025296989544E-2</v>
      </c>
      <c r="M55" s="12">
        <f t="shared" si="24"/>
        <v>11.169403154429613</v>
      </c>
      <c r="N55" s="12">
        <f t="shared" si="19"/>
        <v>0.2706849315068493</v>
      </c>
      <c r="O55" s="12">
        <f t="shared" si="9"/>
        <v>661.26599912448864</v>
      </c>
      <c r="P55" s="12">
        <f t="shared" si="10"/>
        <v>206</v>
      </c>
      <c r="Q55" s="12">
        <f t="shared" si="11"/>
        <v>128.86700043775568</v>
      </c>
      <c r="R55" s="12">
        <f t="shared" si="12"/>
        <v>175.30389540471577</v>
      </c>
      <c r="S55" s="12">
        <f t="shared" si="25"/>
        <v>9.8666884977435518E-2</v>
      </c>
      <c r="T55" s="12">
        <f t="shared" si="20"/>
        <v>0.87891601164765265</v>
      </c>
      <c r="U55" s="12">
        <f>Population!$B$13*MIN(Z54:AA54)</f>
        <v>11.700460539738714</v>
      </c>
      <c r="V55" s="12">
        <f>X54*Population!$B$14</f>
        <v>2.0060838422305474</v>
      </c>
      <c r="W55" s="12">
        <f>AO54*T54*Population!$B$12</f>
        <v>9.174683298177051</v>
      </c>
      <c r="X55" s="12">
        <f t="shared" si="17"/>
        <v>334.86700043775568</v>
      </c>
      <c r="Y55" s="12">
        <f>IF(B54&lt;Vehicle!$B$1*0.75,Vehicle!$B$1*0.01,0)</f>
        <v>0</v>
      </c>
      <c r="Z55" s="14">
        <f t="shared" si="26"/>
        <v>51.790068157770008</v>
      </c>
      <c r="AA55" s="13">
        <f t="shared" si="27"/>
        <v>46.854428570057223</v>
      </c>
      <c r="AB55" s="18">
        <f>(G55+Population!$B$11*AB54)*Population!N$29</f>
        <v>165.82296486223183</v>
      </c>
      <c r="AC55" s="18">
        <f>AB54*Population!$B$12*Population!$N$29+AC54*Population!$B$11*Population!$N$30+Y55*Population!$L$30</f>
        <v>165.29796601872144</v>
      </c>
      <c r="AD55" s="14">
        <f>(AC54*Population!$B$12*0.5*Population!$N$30)+(AD54*Population!$B$11*Population!N$31)+Y55*Population!$L$31</f>
        <v>81.769486783692528</v>
      </c>
      <c r="AE55" s="13">
        <f>(AC54*Population!$B$12*0.5*Population!$N$30)+(AE54*Population!$B$11*Population!N$31)+Y55*Population!$L$32</f>
        <v>81.769486783692528</v>
      </c>
      <c r="AF55" s="14">
        <f>(AD54*Population!$B$12*Population!N$31)+(AF54*Population!$B$11*Population!N$33)+Y55*Population!$L$33</f>
        <v>80.357694571983515</v>
      </c>
      <c r="AG55" s="13">
        <f>(AE54*Population!$B$12*Population!N$31)+(AG54*Population!$B$11*Population!N$33)+Y55*Population!$L$34</f>
        <v>80.346931558065535</v>
      </c>
      <c r="AH55" s="14">
        <f>(AF54*Population!$B$12*Population!N$33)+(AH54*Population!$B$11*Population!N$35)+Y55*Population!$L$35</f>
        <v>78.173242028298048</v>
      </c>
      <c r="AI55" s="13">
        <f>(AG54*Population!$B$12*Population!N$33)+(AI54*Population!$B$11*Population!N$35)+Y55*Population!$L$36</f>
        <v>78.074771148914564</v>
      </c>
      <c r="AJ55" s="14">
        <f>(AH54*Population!$B$12*Population!N$35)+(AJ54*Population!$B$11*Population!N$37)+Y55*Population!$L$37</f>
        <v>76.306328825898163</v>
      </c>
      <c r="AK55" s="13">
        <f>(AI54*Population!$B$12*Population!N$35)+(AK54*Population!$B$11*Population!N$37)+Y55*Population!$L$38</f>
        <v>75.855964352883902</v>
      </c>
      <c r="AL55" s="14">
        <f>(AJ54*Population!$B$12*Population!N$37)+(AL54*Population!$B$11*Population!N$39)+Y55*Population!$L$39</f>
        <v>75.61370006924237</v>
      </c>
      <c r="AM55" s="13">
        <f>(AK54*Population!$B$12*Population!N$37)+(AM54*Population!$B$11*Population!N$39)+Y55*Population!$L$40</f>
        <v>74.257450327481592</v>
      </c>
      <c r="AN55" s="14">
        <f>(AL54*Population!$B$12*Population!N$39)+(AN54*Population!$B$11*Population!N$41)+Y55*Population!$L$41</f>
        <v>76.206103100103576</v>
      </c>
      <c r="AO55" s="13">
        <f>(AM54*Population!$B$12*Population!N$39)+(AO54*Population!$B$11*Population!N$41)+Y55*Population!$L$42</f>
        <v>73.186311620467265</v>
      </c>
      <c r="AP55" s="15">
        <f>(AN54+AO54)*Population!$B$12*Population!$N$41+AP54*Population!$B$11*Population!$N$43</f>
        <v>144.43611841540354</v>
      </c>
      <c r="AQ55" s="5">
        <f>AP54*Population!N$43*Population!$B$12+AQ54*Population!$B$11*Population!N$44</f>
        <v>136.44975282544192</v>
      </c>
      <c r="AR55" s="5">
        <f>AQ54*Population!N$44*Population!$B$12+AR54*Population!$B$11*Population!N$45</f>
        <v>101.03934617121386</v>
      </c>
      <c r="AS55" s="5">
        <f>(AR54*Population!$B$12+AS54)*Population!N$46</f>
        <v>180.06706508381981</v>
      </c>
    </row>
    <row r="56" spans="1:45">
      <c r="A56">
        <f>A55+Population!$B$2</f>
        <v>53</v>
      </c>
      <c r="B56" s="4">
        <f t="shared" si="4"/>
        <v>1830</v>
      </c>
      <c r="C56" s="54">
        <f t="shared" si="21"/>
        <v>745</v>
      </c>
      <c r="D56" s="12">
        <f>AE55*Population!$Q$32*Population!$C$2+AG55*Population!$Q$34*Population!$C$2+AI55*Population!$Q$36*Population!$C$2+AK55*Population!$Q$38*Population!$C$2+AM55*Population!$Q$40*Population!$C$2+AO54*Population!$Q$42*Population!$C$2</f>
        <v>25.873471212613008</v>
      </c>
      <c r="E56" s="12">
        <f>IF(B55&gt;Population!$B$6*Population!$B$15,Population!$B$8,IF(Population!$J$6=1,D56,Population!$B$8*Population!$B$6*0.9/B55))</f>
        <v>23.761836638153017</v>
      </c>
      <c r="F56" s="12">
        <f>IF(B55&gt;Population!$B$6*0.75,Population!$B$8,E56)</f>
        <v>23.761836638153017</v>
      </c>
      <c r="G56" s="15">
        <f>IF(Population!$J$6=1,IF(E56&gt;H55,H55,E56),IF(E56&gt;X55,X55,E56))</f>
        <v>23.761836638153017</v>
      </c>
      <c r="H56" s="15">
        <f t="shared" si="22"/>
        <v>382</v>
      </c>
      <c r="I56" s="15">
        <f t="shared" si="23"/>
        <v>494</v>
      </c>
      <c r="J56" s="12">
        <f t="shared" si="18"/>
        <v>1.293193717277487</v>
      </c>
      <c r="K56" s="12">
        <f>AB56*Population!$P$29+AC56*Population!$P$30+AD56*Population!$P$31+AE56*Population!$P$32+AF56*Population!$P$33+AG56*Population!$P$34+AH56*Population!$P$35+AI56*Population!$P$36+AJ56*Population!$P$37+AK56*Population!$P$38+AL56*Population!$P$37+AM56*Population!$P$38+AN56*Population!$P$39+AO56*Population!$P$40+AP56*Population!$P$41+AQ56*Population!$P$42+AR56*Population!$P$43+AS56*Population!$P$44</f>
        <v>4.1960024864143097</v>
      </c>
      <c r="L56" s="12">
        <f t="shared" si="7"/>
        <v>6.2203760832861305E-2</v>
      </c>
      <c r="M56" s="12">
        <f t="shared" si="24"/>
        <v>11.190817726781171</v>
      </c>
      <c r="N56" s="12">
        <f t="shared" si="19"/>
        <v>0.26994535519125684</v>
      </c>
      <c r="O56" s="12">
        <f t="shared" si="9"/>
        <v>665.23565202090253</v>
      </c>
      <c r="P56" s="12">
        <f t="shared" si="10"/>
        <v>206</v>
      </c>
      <c r="Q56" s="12">
        <f t="shared" si="11"/>
        <v>129.38217398954873</v>
      </c>
      <c r="R56" s="12">
        <f t="shared" si="12"/>
        <v>180.06706508381981</v>
      </c>
      <c r="S56" s="12">
        <f t="shared" si="25"/>
        <v>0.10091532998385175</v>
      </c>
      <c r="T56" s="12">
        <f t="shared" si="20"/>
        <v>0.87796380625536319</v>
      </c>
      <c r="U56" s="12">
        <f>Population!$B$13*MIN(Z55:AA55)</f>
        <v>11.713607142514306</v>
      </c>
      <c r="V56" s="12">
        <f>X55*Population!$B$14</f>
        <v>2.0092020026265343</v>
      </c>
      <c r="W56" s="12">
        <f>AO55*T55*Population!$B$12</f>
        <v>9.1892315880947617</v>
      </c>
      <c r="X56" s="12">
        <f t="shared" si="17"/>
        <v>335.38217398954873</v>
      </c>
      <c r="Y56" s="12">
        <f>IF(B55&lt;Vehicle!$B$1*0.75,Vehicle!$B$1*0.01,0)</f>
        <v>0</v>
      </c>
      <c r="Z56" s="14">
        <f t="shared" si="26"/>
        <v>51.414757936444119</v>
      </c>
      <c r="AA56" s="13">
        <f t="shared" si="27"/>
        <v>46.91915486604745</v>
      </c>
      <c r="AB56" s="18">
        <f>(G56+Population!$B$11*AB55)*Population!N$29</f>
        <v>165.82845282261889</v>
      </c>
      <c r="AC56" s="18">
        <f>AB55*Population!$B$12*Population!$N$29+AC55*Population!$B$11*Population!$N$30+Y56*Population!$L$30</f>
        <v>165.33146922810016</v>
      </c>
      <c r="AD56" s="14">
        <f>(AC55*Population!$B$12*0.5*Population!$N$30)+(AD55*Population!$B$11*Population!N$31)+Y56*Population!$L$31</f>
        <v>81.82567853784424</v>
      </c>
      <c r="AE56" s="13">
        <f>(AC55*Population!$B$12*0.5*Population!$N$30)+(AE55*Population!$B$11*Population!N$31)+Y56*Population!$L$32</f>
        <v>81.82567853784424</v>
      </c>
      <c r="AF56" s="14">
        <f>(AD55*Population!$B$12*Population!N$31)+(AF55*Population!$B$11*Population!N$33)+Y56*Population!$L$33</f>
        <v>80.482606085303743</v>
      </c>
      <c r="AG56" s="13">
        <f>(AE55*Population!$B$12*Population!N$31)+(AG55*Population!$B$11*Population!N$33)+Y56*Population!$L$34</f>
        <v>80.473389436647409</v>
      </c>
      <c r="AH56" s="14">
        <f>(AF55*Population!$B$12*Population!N$33)+(AH55*Population!$B$11*Population!N$35)+Y56*Population!$L$35</f>
        <v>78.34571573009697</v>
      </c>
      <c r="AI56" s="13">
        <f>(AG55*Population!$B$12*Population!N$33)+(AI55*Population!$B$11*Population!N$35)+Y56*Population!$L$36</f>
        <v>78.259938066020368</v>
      </c>
      <c r="AJ56" s="14">
        <f>(AH55*Population!$B$12*Population!N$35)+(AJ55*Population!$B$11*Population!N$37)+Y56*Population!$L$37</f>
        <v>76.42601049298834</v>
      </c>
      <c r="AK56" s="13">
        <f>(AI55*Population!$B$12*Population!N$35)+(AK55*Population!$B$11*Population!N$37)+Y56*Population!$L$38</f>
        <v>76.026684713752402</v>
      </c>
      <c r="AL56" s="14">
        <f>(AJ55*Population!$B$12*Population!N$37)+(AL55*Population!$B$11*Population!N$39)+Y56*Population!$L$39</f>
        <v>75.567278752172697</v>
      </c>
      <c r="AM56" s="13">
        <f>(AK55*Population!$B$12*Population!N$37)+(AM55*Population!$B$11*Population!N$39)+Y56*Population!$L$40</f>
        <v>74.342796719777624</v>
      </c>
      <c r="AN56" s="14">
        <f>(AL55*Population!$B$12*Population!N$39)+(AN55*Population!$B$11*Population!N$41)+Y56*Population!$L$41</f>
        <v>75.975320865431101</v>
      </c>
      <c r="AO56" s="13">
        <f>(AM55*Population!$B$12*Population!N$39)+(AO55*Population!$B$11*Population!N$41)+Y56*Population!$L$42</f>
        <v>73.198519919398379</v>
      </c>
      <c r="AP56" s="15">
        <f>(AN55+AO55)*Population!$B$12*Population!$N$41+AP55*Population!$B$11*Population!$N$43</f>
        <v>144.20561723223696</v>
      </c>
      <c r="AQ56" s="5">
        <f>AP55*Population!N$43*Population!$B$12+AQ55*Population!$B$11*Population!N$44</f>
        <v>136.59312989451954</v>
      </c>
      <c r="AR56" s="5">
        <f>AQ55*Population!N$44*Population!$B$12+AR55*Population!$B$11*Population!N$45</f>
        <v>101.58136036190319</v>
      </c>
      <c r="AS56" s="5">
        <f>(AR55*Population!$B$12+AS55)*Population!N$46</f>
        <v>184.67505387044869</v>
      </c>
    </row>
    <row r="57" spans="1:45">
      <c r="A57">
        <f>A56+Population!$B$2</f>
        <v>54</v>
      </c>
      <c r="B57" s="4">
        <f t="shared" si="4"/>
        <v>1836</v>
      </c>
      <c r="C57" s="54">
        <f t="shared" si="21"/>
        <v>746</v>
      </c>
      <c r="D57" s="12">
        <f>AE56*Population!$Q$32*Population!$C$2+AG56*Population!$Q$34*Population!$C$2+AI56*Population!$Q$36*Population!$C$2+AK56*Population!$Q$38*Population!$C$2+AM56*Population!$Q$40*Population!$C$2+AO55*Population!$Q$42*Population!$C$2</f>
        <v>25.919133359366207</v>
      </c>
      <c r="E57" s="12">
        <f>IF(B56&gt;Population!$B$6*Population!$B$15,Population!$B$8,IF(Population!$J$6=1,D57,Population!$B$8*Population!$B$6*0.9/B56))</f>
        <v>23.761836638153017</v>
      </c>
      <c r="F57" s="12">
        <f>IF(B56&gt;Population!$B$6*0.75,Population!$B$8,E57)</f>
        <v>23.761836638153017</v>
      </c>
      <c r="G57" s="15">
        <f>IF(Population!$J$6=1,IF(E57&gt;H56,H56,E57),IF(E57&gt;X56,X56,E57))</f>
        <v>23.761836638153017</v>
      </c>
      <c r="H57" s="15">
        <f t="shared" si="22"/>
        <v>382</v>
      </c>
      <c r="I57" s="15">
        <f t="shared" si="23"/>
        <v>494</v>
      </c>
      <c r="J57" s="12">
        <f t="shared" si="18"/>
        <v>1.293193717277487</v>
      </c>
      <c r="K57" s="12">
        <f>AB57*Population!$P$29+AC57*Population!$P$30+AD57*Population!$P$31+AE57*Population!$P$32+AF57*Population!$P$33+AG57*Population!$P$34+AH57*Population!$P$35+AI57*Population!$P$36+AJ57*Population!$P$37+AK57*Population!$P$38+AL57*Population!$P$37+AM57*Population!$P$38+AN57*Population!$P$39+AO57*Population!$P$40+AP57*Population!$P$41+AQ57*Population!$P$42+AR57*Population!$P$43+AS57*Population!$P$44</f>
        <v>4.2326877435463404</v>
      </c>
      <c r="L57" s="12">
        <f t="shared" si="7"/>
        <v>6.2203760832861305E-2</v>
      </c>
      <c r="M57" s="12">
        <f t="shared" si="24"/>
        <v>11.211592997678203</v>
      </c>
      <c r="N57" s="12">
        <f t="shared" si="19"/>
        <v>0.26906318082788672</v>
      </c>
      <c r="O57" s="12">
        <f t="shared" si="9"/>
        <v>670.16227529309458</v>
      </c>
      <c r="P57" s="12">
        <f t="shared" si="10"/>
        <v>206</v>
      </c>
      <c r="Q57" s="12">
        <f t="shared" si="11"/>
        <v>129.91886235345271</v>
      </c>
      <c r="R57" s="12">
        <f t="shared" si="12"/>
        <v>184.67505387044869</v>
      </c>
      <c r="S57" s="12">
        <f t="shared" si="25"/>
        <v>0.10300858707429313</v>
      </c>
      <c r="T57" s="12">
        <f t="shared" si="20"/>
        <v>0.87936874961636835</v>
      </c>
      <c r="U57" s="12">
        <f>Population!$B$13*MIN(Z56:AA56)</f>
        <v>11.729788716511862</v>
      </c>
      <c r="V57" s="12">
        <f>X56*Population!$B$14</f>
        <v>2.0122930439372926</v>
      </c>
      <c r="W57" s="12">
        <f>AO56*T56*Population!$B$12</f>
        <v>9.1808073086705733</v>
      </c>
      <c r="X57" s="12">
        <f t="shared" si="17"/>
        <v>335.91886235345271</v>
      </c>
      <c r="Y57" s="12">
        <f>IF(B56&lt;Vehicle!$B$1*0.75,Vehicle!$B$1*0.01,0)</f>
        <v>0</v>
      </c>
      <c r="Z57" s="14">
        <f t="shared" si="26"/>
        <v>51.058710488587963</v>
      </c>
      <c r="AA57" s="13">
        <f t="shared" si="27"/>
        <v>46.967654276189535</v>
      </c>
      <c r="AB57" s="18">
        <f>(G57+Population!$B$11*AB56)*Population!N$29</f>
        <v>165.83315487885474</v>
      </c>
      <c r="AC57" s="18">
        <f>AB56*Population!$B$12*Population!$N$29+AC56*Population!$B$11*Population!$N$30+Y57*Population!$L$30</f>
        <v>165.36096347941654</v>
      </c>
      <c r="AD57" s="14">
        <f>(AC56*Population!$B$12*0.5*Population!$N$30)+(AD56*Population!$B$11*Population!N$31)+Y57*Population!$L$31</f>
        <v>81.876189545849712</v>
      </c>
      <c r="AE57" s="13">
        <f>(AC56*Population!$B$12*0.5*Population!$N$30)+(AE56*Population!$B$11*Population!N$31)+Y57*Population!$L$32</f>
        <v>81.876189545849712</v>
      </c>
      <c r="AF57" s="14">
        <f>(AD56*Population!$B$12*Population!N$31)+(AF56*Population!$B$11*Population!N$33)+Y57*Population!$L$33</f>
        <v>80.597590805203495</v>
      </c>
      <c r="AG57" s="13">
        <f>(AE56*Population!$B$12*Population!N$31)+(AG56*Population!$B$11*Population!N$33)+Y57*Population!$L$34</f>
        <v>80.589698349326213</v>
      </c>
      <c r="AH57" s="14">
        <f>(AF56*Population!$B$12*Population!N$33)+(AH56*Population!$B$11*Population!N$35)+Y57*Population!$L$35</f>
        <v>78.511093985296526</v>
      </c>
      <c r="AI57" s="13">
        <f>(AG56*Population!$B$12*Population!N$33)+(AI56*Population!$B$11*Population!N$35)+Y57*Population!$L$36</f>
        <v>78.43639602944512</v>
      </c>
      <c r="AJ57" s="14">
        <f>(AH56*Population!$B$12*Population!N$35)+(AJ56*Population!$B$11*Population!N$37)+Y57*Population!$L$37</f>
        <v>76.552989610420852</v>
      </c>
      <c r="AK57" s="13">
        <f>(AI56*Population!$B$12*Population!N$35)+(AK56*Population!$B$11*Population!N$37)+Y57*Population!$L$38</f>
        <v>76.199137122792223</v>
      </c>
      <c r="AL57" s="14">
        <f>(AJ56*Population!$B$12*Population!N$37)+(AL56*Population!$B$11*Population!N$39)+Y57*Population!$L$39</f>
        <v>75.544630002093285</v>
      </c>
      <c r="AM57" s="13">
        <f>(AK56*Population!$B$12*Population!N$37)+(AM56*Population!$B$11*Population!N$39)+Y57*Population!$L$40</f>
        <v>74.440152111365137</v>
      </c>
      <c r="AN57" s="14">
        <f>(AL56*Population!$B$12*Population!N$39)+(AN56*Population!$B$11*Population!N$41)+Y57*Population!$L$41</f>
        <v>75.771268439026485</v>
      </c>
      <c r="AO57" s="13">
        <f>(AM56*Population!$B$12*Population!N$39)+(AO56*Population!$B$11*Population!N$41)+Y57*Population!$L$42</f>
        <v>73.221133016713495</v>
      </c>
      <c r="AP57" s="15">
        <f>(AN56+AO56)*Population!$B$12*Population!$N$41+AP56*Population!$B$11*Population!$N$43</f>
        <v>143.97831229347744</v>
      </c>
      <c r="AQ57" s="5">
        <f>AP56*Population!N$43*Population!$B$12+AQ56*Population!$B$11*Population!N$44</f>
        <v>136.68244353200129</v>
      </c>
      <c r="AR57" s="5">
        <f>AQ56*Population!N$44*Population!$B$12+AR56*Population!$B$11*Population!N$45</f>
        <v>102.04280713161478</v>
      </c>
      <c r="AS57" s="5">
        <f>(AR56*Population!$B$12+AS56)*Population!N$46</f>
        <v>189.12376586840219</v>
      </c>
    </row>
    <row r="58" spans="1:45">
      <c r="A58">
        <f>A57+Population!$B$2</f>
        <v>55</v>
      </c>
      <c r="B58" s="4">
        <f t="shared" si="4"/>
        <v>1842</v>
      </c>
      <c r="C58" s="54">
        <f t="shared" si="21"/>
        <v>746</v>
      </c>
      <c r="D58" s="12">
        <f>AE57*Population!$Q$32*Population!$C$2+AG57*Population!$Q$34*Population!$C$2+AI57*Population!$Q$36*Population!$C$2+AK57*Population!$Q$38*Population!$C$2+AM57*Population!$Q$40*Population!$C$2+AO56*Population!$Q$42*Population!$C$2</f>
        <v>25.963856135579928</v>
      </c>
      <c r="E58" s="12">
        <f>IF(B57&gt;Population!$B$6*Population!$B$15,Population!$B$8,IF(Population!$J$6=1,D58,Population!$B$8*Population!$B$6*0.9/B57))</f>
        <v>23.761836638153017</v>
      </c>
      <c r="F58" s="12">
        <f>IF(B57&gt;Population!$B$6*0.75,Population!$B$8,E58)</f>
        <v>23.761836638153017</v>
      </c>
      <c r="G58" s="15">
        <f>IF(Population!$J$6=1,IF(E58&gt;H57,H57,E58),IF(E58&gt;X57,X57,E58))</f>
        <v>23.761836638153017</v>
      </c>
      <c r="H58" s="15">
        <f t="shared" si="22"/>
        <v>383</v>
      </c>
      <c r="I58" s="15">
        <f t="shared" si="23"/>
        <v>495</v>
      </c>
      <c r="J58" s="12">
        <f t="shared" si="18"/>
        <v>1.2924281984334203</v>
      </c>
      <c r="K58" s="12">
        <f>AB58*Population!$P$29+AC58*Population!$P$30+AD58*Population!$P$31+AE58*Population!$P$32+AF58*Population!$P$33+AG58*Population!$P$34+AH58*Population!$P$35+AI58*Population!$P$36+AJ58*Population!$P$37+AK58*Population!$P$38+AL58*Population!$P$37+AM58*Population!$P$38+AN58*Population!$P$39+AO58*Population!$P$40+AP58*Population!$P$41+AQ58*Population!$P$42+AR58*Population!$P$43+AS58*Population!$P$44</f>
        <v>4.2676765822803571</v>
      </c>
      <c r="L58" s="12">
        <f t="shared" si="7"/>
        <v>6.2041348924681508E-2</v>
      </c>
      <c r="M58" s="12">
        <f t="shared" si="24"/>
        <v>11.231660471043838</v>
      </c>
      <c r="N58" s="12">
        <f t="shared" si="19"/>
        <v>0.26872964169381108</v>
      </c>
      <c r="O58" s="12">
        <f t="shared" si="9"/>
        <v>674.10615341364155</v>
      </c>
      <c r="P58" s="12">
        <f t="shared" si="10"/>
        <v>207</v>
      </c>
      <c r="Q58" s="12">
        <f t="shared" si="11"/>
        <v>129.44692329317922</v>
      </c>
      <c r="R58" s="12">
        <f t="shared" si="12"/>
        <v>189.12376586840219</v>
      </c>
      <c r="S58" s="12">
        <f t="shared" si="25"/>
        <v>0.10500017349406229</v>
      </c>
      <c r="T58" s="12">
        <f t="shared" si="20"/>
        <v>0.8784514968490319</v>
      </c>
      <c r="U58" s="12">
        <f>Population!$B$13*MIN(Z57:AA57)</f>
        <v>11.741913569047384</v>
      </c>
      <c r="V58" s="12">
        <f>X57*Population!$B$14</f>
        <v>2.0155131741207164</v>
      </c>
      <c r="W58" s="12">
        <f>AO57*T57*Population!$B$12</f>
        <v>9.1983394552001609</v>
      </c>
      <c r="X58" s="12">
        <f t="shared" si="17"/>
        <v>336.44692329317922</v>
      </c>
      <c r="Y58" s="12">
        <f>IF(B57&lt;Vehicle!$B$1*0.75,Vehicle!$B$1*0.01,0)</f>
        <v>0</v>
      </c>
      <c r="Z58" s="14">
        <f t="shared" si="26"/>
        <v>50.747358184111704</v>
      </c>
      <c r="AA58" s="13">
        <f t="shared" si="27"/>
        <v>47.027754762250879</v>
      </c>
      <c r="AB58" s="18">
        <f>(G58+Population!$B$11*AB57)*Population!N$29</f>
        <v>165.8371835764556</v>
      </c>
      <c r="AC58" s="18">
        <f>AB57*Population!$B$12*Population!$N$29+AC57*Population!$B$11*Population!$N$30+Y58*Population!$L$30</f>
        <v>165.38691002768229</v>
      </c>
      <c r="AD58" s="14">
        <f>(AC57*Population!$B$12*0.5*Population!$N$30)+(AD57*Population!$B$11*Population!N$31)+Y58*Population!$L$31</f>
        <v>81.921549693513143</v>
      </c>
      <c r="AE58" s="13">
        <f>(AC57*Population!$B$12*0.5*Population!$N$30)+(AE57*Population!$B$11*Population!N$31)+Y58*Population!$L$32</f>
        <v>81.921549693513143</v>
      </c>
      <c r="AF58" s="14">
        <f>(AD57*Population!$B$12*Population!N$31)+(AF57*Population!$B$11*Population!N$33)+Y58*Population!$L$33</f>
        <v>80.703264192029906</v>
      </c>
      <c r="AG58" s="13">
        <f>(AE57*Population!$B$12*Population!N$31)+(AG57*Population!$B$11*Population!N$33)+Y58*Population!$L$34</f>
        <v>80.696505676858337</v>
      </c>
      <c r="AH58" s="14">
        <f>(AF57*Population!$B$12*Population!N$33)+(AH57*Population!$B$11*Population!N$35)+Y58*Population!$L$35</f>
        <v>78.668985344319239</v>
      </c>
      <c r="AI58" s="13">
        <f>(AG57*Population!$B$12*Population!N$33)+(AI57*Population!$B$11*Population!N$35)+Y58*Population!$L$36</f>
        <v>78.603955037315828</v>
      </c>
      <c r="AJ58" s="14">
        <f>(AH57*Population!$B$12*Population!N$35)+(AJ57*Population!$B$11*Population!N$37)+Y58*Population!$L$37</f>
        <v>76.685199986722537</v>
      </c>
      <c r="AK58" s="13">
        <f>(AI57*Population!$B$12*Population!N$35)+(AK57*Population!$B$11*Population!N$37)+Y58*Population!$L$38</f>
        <v>76.371829546595336</v>
      </c>
      <c r="AL58" s="14">
        <f>(AJ57*Population!$B$12*Population!N$37)+(AL57*Population!$B$11*Population!N$39)+Y58*Population!$L$39</f>
        <v>75.543359106472067</v>
      </c>
      <c r="AM58" s="13">
        <f>(AK57*Population!$B$12*Population!N$37)+(AM57*Population!$B$11*Population!N$39)+Y58*Population!$L$40</f>
        <v>74.548028127912062</v>
      </c>
      <c r="AN58" s="14">
        <f>(AL57*Population!$B$12*Population!N$39)+(AN57*Population!$B$11*Population!N$41)+Y58*Population!$L$41</f>
        <v>75.593472847747222</v>
      </c>
      <c r="AO58" s="13">
        <f>(AM57*Population!$B$12*Population!N$39)+(AO57*Population!$B$11*Population!N$41)+Y58*Population!$L$42</f>
        <v>73.254359666748542</v>
      </c>
      <c r="AP58" s="15">
        <f>(AN57+AO57)*Population!$B$12*Population!$N$41+AP57*Population!$B$11*Population!$N$43</f>
        <v>143.7590218887205</v>
      </c>
      <c r="AQ58" s="5">
        <f>AP57*Population!N$43*Population!$B$12+AQ57*Population!$B$11*Population!N$44</f>
        <v>136.7262063468165</v>
      </c>
      <c r="AR58" s="5">
        <f>AQ57*Population!N$44*Population!$B$12+AR57*Population!$B$11*Population!N$45</f>
        <v>102.43101755833541</v>
      </c>
      <c r="AS58" s="5">
        <f>(AR57*Population!$B$12+AS57)*Population!N$46</f>
        <v>193.41031957606273</v>
      </c>
    </row>
    <row r="59" spans="1:45">
      <c r="A59">
        <f>A58+Population!$B$2</f>
        <v>56</v>
      </c>
      <c r="B59" s="4">
        <f t="shared" si="4"/>
        <v>1847</v>
      </c>
      <c r="C59" s="54">
        <f t="shared" si="21"/>
        <v>747</v>
      </c>
      <c r="D59" s="12">
        <f>AE58*Population!$Q$32*Population!$C$2+AG58*Population!$Q$34*Population!$C$2+AI58*Population!$Q$36*Population!$C$2+AK58*Population!$Q$38*Population!$C$2+AM58*Population!$Q$40*Population!$C$2+AO57*Population!$Q$42*Population!$C$2</f>
        <v>26.007525812464017</v>
      </c>
      <c r="E59" s="12">
        <f>IF(B58&gt;Population!$B$6*Population!$B$15,Population!$B$8,IF(Population!$J$6=1,D59,Population!$B$8*Population!$B$6*0.9/B58))</f>
        <v>23.761836638153017</v>
      </c>
      <c r="F59" s="12">
        <f>IF(B58&gt;Population!$B$6*0.75,Population!$B$8,E59)</f>
        <v>23.761836638153017</v>
      </c>
      <c r="G59" s="15">
        <f>IF(Population!$J$6=1,IF(E59&gt;H58,H58,E59),IF(E59&gt;X58,X58,E59))</f>
        <v>23.761836638153017</v>
      </c>
      <c r="H59" s="15">
        <f t="shared" si="22"/>
        <v>384</v>
      </c>
      <c r="I59" s="15">
        <f t="shared" si="23"/>
        <v>495</v>
      </c>
      <c r="J59" s="12">
        <f t="shared" si="18"/>
        <v>1.2890625</v>
      </c>
      <c r="K59" s="12">
        <f>AB59*Population!$P$29+AC59*Population!$P$30+AD59*Population!$P$31+AE59*Population!$P$32+AF59*Population!$P$33+AG59*Population!$P$34+AH59*Population!$P$35+AI59*Population!$P$36+AJ59*Population!$P$37+AK59*Population!$P$38+AL59*Population!$P$37+AM59*Population!$P$38+AN59*Population!$P$39+AO59*Population!$P$40+AP59*Population!$P$41+AQ59*Population!$P$42+AR59*Population!$P$43+AS59*Population!$P$44</f>
        <v>4.3010181764639412</v>
      </c>
      <c r="L59" s="12">
        <f t="shared" si="7"/>
        <v>6.1879782911856814E-2</v>
      </c>
      <c r="M59" s="12">
        <f t="shared" si="24"/>
        <v>11.250967492187526</v>
      </c>
      <c r="N59" s="12">
        <f t="shared" si="19"/>
        <v>0.26800216567406604</v>
      </c>
      <c r="O59" s="12">
        <f t="shared" si="9"/>
        <v>678.01546822631212</v>
      </c>
      <c r="P59" s="12">
        <f t="shared" si="10"/>
        <v>207</v>
      </c>
      <c r="Q59" s="12">
        <f t="shared" si="11"/>
        <v>129.99226588684394</v>
      </c>
      <c r="R59" s="12">
        <f t="shared" si="12"/>
        <v>193.41031957606273</v>
      </c>
      <c r="S59" s="12">
        <f t="shared" si="25"/>
        <v>0.10694800944921097</v>
      </c>
      <c r="T59" s="12">
        <f t="shared" si="20"/>
        <v>0.87758402574698946</v>
      </c>
      <c r="U59" s="12">
        <f>Population!$B$13*MIN(Z58:AA58)</f>
        <v>11.75693869056272</v>
      </c>
      <c r="V59" s="12">
        <f>X58*Population!$B$14</f>
        <v>2.0186815397590756</v>
      </c>
      <c r="W59" s="12">
        <f>AO58*T58*Population!$B$12</f>
        <v>9.192914557138943</v>
      </c>
      <c r="X59" s="12">
        <f t="shared" si="17"/>
        <v>336.99226588684394</v>
      </c>
      <c r="Y59" s="12">
        <f>IF(B58&lt;Vehicle!$B$1*0.75,Vehicle!$B$1*0.01,0)</f>
        <v>0</v>
      </c>
      <c r="Z59" s="14">
        <f t="shared" si="26"/>
        <v>50.450234780309472</v>
      </c>
      <c r="AA59" s="13">
        <f t="shared" si="27"/>
        <v>47.071283902061737</v>
      </c>
      <c r="AB59" s="18">
        <f>(G59+Population!$B$11*AB58)*Population!N$29</f>
        <v>165.840635343841</v>
      </c>
      <c r="AC59" s="18">
        <f>AB58*Population!$B$12*Population!$N$29+AC58*Population!$B$11*Population!$N$30+Y59*Population!$L$30</f>
        <v>165.40972021678283</v>
      </c>
      <c r="AD59" s="14">
        <f>(AC58*Population!$B$12*0.5*Population!$N$30)+(AD58*Population!$B$11*Population!N$31)+Y59*Population!$L$31</f>
        <v>81.962245675199199</v>
      </c>
      <c r="AE59" s="13">
        <f>(AC58*Population!$B$12*0.5*Population!$N$30)+(AE58*Population!$B$11*Population!N$31)+Y59*Population!$L$32</f>
        <v>81.962245675199199</v>
      </c>
      <c r="AF59" s="14">
        <f>(AD58*Population!$B$12*Population!N$31)+(AF58*Population!$B$11*Population!N$33)+Y59*Population!$L$33</f>
        <v>80.8002289063121</v>
      </c>
      <c r="AG59" s="13">
        <f>(AE58*Population!$B$12*Population!N$31)+(AG58*Population!$B$11*Population!N$33)+Y59*Population!$L$34</f>
        <v>80.794441414049288</v>
      </c>
      <c r="AH59" s="14">
        <f>(AF58*Population!$B$12*Population!N$33)+(AH58*Population!$B$11*Population!N$35)+Y59*Population!$L$35</f>
        <v>78.819142762286248</v>
      </c>
      <c r="AI59" s="13">
        <f>(AG58*Population!$B$12*Population!N$33)+(AI58*Population!$B$11*Population!N$35)+Y59*Population!$L$36</f>
        <v>78.762544938401916</v>
      </c>
      <c r="AJ59" s="14">
        <f>(AH58*Population!$B$12*Population!N$35)+(AJ58*Population!$B$11*Population!N$37)+Y59*Population!$L$37</f>
        <v>76.820818186992327</v>
      </c>
      <c r="AK59" s="13">
        <f>(AI58*Population!$B$12*Population!N$35)+(AK58*Population!$B$11*Population!N$37)+Y59*Population!$L$38</f>
        <v>76.543458463834199</v>
      </c>
      <c r="AL59" s="14">
        <f>(AJ58*Population!$B$12*Population!N$37)+(AL58*Population!$B$11*Population!N$39)+Y59*Population!$L$39</f>
        <v>75.56112279209627</v>
      </c>
      <c r="AM59" s="13">
        <f>(AK58*Population!$B$12*Population!N$37)+(AM58*Population!$B$11*Population!N$39)+Y59*Population!$L$40</f>
        <v>74.664938731043534</v>
      </c>
      <c r="AN59" s="14">
        <f>(AL58*Population!$B$12*Population!N$39)+(AN58*Population!$B$11*Population!N$41)+Y59*Population!$L$41</f>
        <v>75.441188019466423</v>
      </c>
      <c r="AO59" s="13">
        <f>(AM58*Population!$B$12*Population!N$39)+(AO58*Population!$B$11*Population!N$41)+Y59*Population!$L$42</f>
        <v>73.298166241576695</v>
      </c>
      <c r="AP59" s="15">
        <f>(AN58+AO58)*Population!$B$12*Population!$N$41+AP58*Population!$B$11*Population!$N$43</f>
        <v>143.55180836517596</v>
      </c>
      <c r="AQ59" s="5">
        <f>AP58*Population!N$43*Population!$B$12+AQ58*Population!$B$11*Population!N$44</f>
        <v>136.73234529783426</v>
      </c>
      <c r="AR59" s="5">
        <f>AQ58*Population!N$44*Population!$B$12+AR58*Population!$B$11*Population!N$45</f>
        <v>102.75316523693314</v>
      </c>
      <c r="AS59" s="5">
        <f>(AR58*Population!$B$12+AS58)*Population!N$46</f>
        <v>197.53297345269266</v>
      </c>
    </row>
    <row r="60" spans="1:45">
      <c r="A60">
        <f>A59+Population!$B$2</f>
        <v>57</v>
      </c>
      <c r="B60" s="4">
        <f t="shared" si="4"/>
        <v>1852</v>
      </c>
      <c r="C60" s="54">
        <f t="shared" si="21"/>
        <v>748</v>
      </c>
      <c r="D60" s="12">
        <f>AE59*Population!$Q$32*Population!$C$2+AG59*Population!$Q$34*Population!$C$2+AI59*Population!$Q$36*Population!$C$2+AK59*Population!$Q$38*Population!$C$2+AM59*Population!$Q$40*Population!$C$2+AO58*Population!$Q$42*Population!$C$2</f>
        <v>26.050045745471479</v>
      </c>
      <c r="E60" s="12">
        <f>IF(B59&gt;Population!$B$6*Population!$B$15,Population!$B$8,IF(Population!$J$6=1,D60,Population!$B$8*Population!$B$6*0.9/B59))</f>
        <v>23.761836638153017</v>
      </c>
      <c r="F60" s="12">
        <f>IF(B59&gt;Population!$B$6*0.75,Population!$B$8,E60)</f>
        <v>23.761836638153017</v>
      </c>
      <c r="G60" s="15">
        <f>IF(Population!$J$6=1,IF(E60&gt;H59,H59,E60),IF(E60&gt;X59,X59,E60))</f>
        <v>23.761836638153017</v>
      </c>
      <c r="H60" s="15">
        <f t="shared" si="22"/>
        <v>384</v>
      </c>
      <c r="I60" s="15">
        <f t="shared" si="23"/>
        <v>495</v>
      </c>
      <c r="J60" s="12">
        <f t="shared" si="18"/>
        <v>1.2890625</v>
      </c>
      <c r="K60" s="12">
        <f>AB60*Population!$P$29+AC60*Population!$P$30+AD60*Population!$P$31+AE60*Population!$P$32+AF60*Population!$P$33+AG60*Population!$P$34+AH60*Population!$P$35+AI60*Population!$P$36+AJ60*Population!$P$37+AK60*Population!$P$38+AL60*Population!$P$37+AM60*Population!$P$38+AN60*Population!$P$39+AO60*Population!$P$40+AP60*Population!$P$41+AQ60*Population!$P$42+AR60*Population!$P$43+AS60*Population!$P$44</f>
        <v>4.3327657735533407</v>
      </c>
      <c r="L60" s="12">
        <f t="shared" si="7"/>
        <v>6.1879782911856814E-2</v>
      </c>
      <c r="M60" s="12">
        <f t="shared" si="24"/>
        <v>11.269475459071517</v>
      </c>
      <c r="N60" s="12">
        <f t="shared" si="19"/>
        <v>0.26727861771058314</v>
      </c>
      <c r="O60" s="12">
        <f t="shared" si="9"/>
        <v>681.90239055453912</v>
      </c>
      <c r="P60" s="12">
        <f t="shared" si="10"/>
        <v>207</v>
      </c>
      <c r="Q60" s="12">
        <f t="shared" si="11"/>
        <v>130.54880472273044</v>
      </c>
      <c r="R60" s="12">
        <f t="shared" si="12"/>
        <v>197.53297345269266</v>
      </c>
      <c r="S60" s="12">
        <f t="shared" si="25"/>
        <v>0.10879646164503252</v>
      </c>
      <c r="T60" s="12">
        <f t="shared" si="20"/>
        <v>0.87903334563211055</v>
      </c>
      <c r="U60" s="12">
        <f>Population!$B$13*MIN(Z59:AA59)</f>
        <v>11.767820975515434</v>
      </c>
      <c r="V60" s="12">
        <f>X59*Population!$B$14</f>
        <v>2.0219535953210639</v>
      </c>
      <c r="W60" s="12">
        <f>AO59*T59*Population!$B$12</f>
        <v>9.1893285443078501</v>
      </c>
      <c r="X60" s="12">
        <f t="shared" si="17"/>
        <v>337.54880472273044</v>
      </c>
      <c r="Y60" s="12">
        <f>IF(B59&lt;Vehicle!$B$1*0.75,Vehicle!$B$1*0.01,0)</f>
        <v>0</v>
      </c>
      <c r="Z60" s="14">
        <f t="shared" si="26"/>
        <v>50.169053695437469</v>
      </c>
      <c r="AA60" s="13">
        <f t="shared" si="27"/>
        <v>47.102142974381877</v>
      </c>
      <c r="AB60" s="18">
        <f>(G60+Population!$B$11*AB59)*Population!N$29</f>
        <v>165.84359280038484</v>
      </c>
      <c r="AC60" s="18">
        <f>AB59*Population!$B$12*Population!$N$29+AC59*Population!$B$11*Population!$N$30+Y60*Population!$L$30</f>
        <v>165.42976031775655</v>
      </c>
      <c r="AD60" s="14">
        <f>(AC59*Population!$B$12*0.5*Population!$N$30)+(AD59*Population!$B$11*Population!N$31)+Y60*Population!$L$31</f>
        <v>81.998723635041628</v>
      </c>
      <c r="AE60" s="13">
        <f>(AC59*Population!$B$12*0.5*Population!$N$30)+(AE59*Population!$B$11*Population!N$31)+Y60*Population!$L$32</f>
        <v>81.998723635041628</v>
      </c>
      <c r="AF60" s="14">
        <f>(AD59*Population!$B$12*Population!N$31)+(AF59*Population!$B$11*Population!N$33)+Y60*Population!$L$33</f>
        <v>80.889070483436726</v>
      </c>
      <c r="AG60" s="13">
        <f>(AE59*Population!$B$12*Population!N$31)+(AG59*Population!$B$11*Population!N$33)+Y60*Population!$L$34</f>
        <v>80.884114503337273</v>
      </c>
      <c r="AH60" s="14">
        <f>(AF59*Population!$B$12*Population!N$33)+(AH59*Population!$B$11*Population!N$35)+Y60*Population!$L$35</f>
        <v>78.961440905322917</v>
      </c>
      <c r="AI60" s="13">
        <f>(AG59*Population!$B$12*Population!N$33)+(AI59*Population!$B$11*Population!N$35)+Y60*Population!$L$36</f>
        <v>78.912195632014686</v>
      </c>
      <c r="AJ60" s="14">
        <f>(AH59*Population!$B$12*Population!N$35)+(AJ59*Population!$B$11*Population!N$37)+Y60*Population!$L$37</f>
        <v>76.958249043517498</v>
      </c>
      <c r="AK60" s="13">
        <f>(AI59*Population!$B$12*Population!N$35)+(AK59*Population!$B$11*Population!N$37)+Y60*Population!$L$38</f>
        <v>76.712898713374571</v>
      </c>
      <c r="AL60" s="14">
        <f>(AJ59*Population!$B$12*Population!N$37)+(AL59*Population!$B$11*Population!N$39)+Y60*Population!$L$39</f>
        <v>75.59565640486943</v>
      </c>
      <c r="AM60" s="13">
        <f>(AK59*Population!$B$12*Population!N$37)+(AM59*Population!$B$11*Population!N$39)+Y60*Population!$L$40</f>
        <v>74.789426759380461</v>
      </c>
      <c r="AN60" s="14">
        <f>(AL59*Population!$B$12*Population!N$39)+(AN59*Population!$B$11*Population!N$41)+Y60*Population!$L$41</f>
        <v>75.31344158102138</v>
      </c>
      <c r="AO60" s="13">
        <f>(AM59*Population!$B$12*Population!N$39)+(AO59*Population!$B$11*Population!N$41)+Y60*Population!$L$42</f>
        <v>73.352312089005309</v>
      </c>
      <c r="AP60" s="15">
        <f>(AN59+AO59)*Population!$B$12*Population!$N$41+AP59*Population!$B$11*Population!$N$43</f>
        <v>143.36001731829037</v>
      </c>
      <c r="AQ60" s="5">
        <f>AP59*Population!N$43*Population!$B$12+AQ59*Population!$B$11*Population!N$44</f>
        <v>136.70818178872545</v>
      </c>
      <c r="AR60" s="5">
        <f>AQ59*Population!N$44*Population!$B$12+AR59*Population!$B$11*Population!N$45</f>
        <v>103.01621253848637</v>
      </c>
      <c r="AS60" s="5">
        <f>(AR59*Population!$B$12+AS59)*Population!N$46</f>
        <v>201.49104696660024</v>
      </c>
    </row>
    <row r="61" spans="1:45">
      <c r="A61">
        <f>A60+Population!$B$2</f>
        <v>58</v>
      </c>
      <c r="B61" s="4">
        <f t="shared" si="4"/>
        <v>1856</v>
      </c>
      <c r="C61" s="54">
        <f t="shared" si="21"/>
        <v>748</v>
      </c>
      <c r="D61" s="12">
        <f>AE60*Population!$Q$32*Population!$C$2+AG60*Population!$Q$34*Population!$C$2+AI60*Population!$Q$36*Population!$C$2+AK60*Population!$Q$38*Population!$C$2+AM60*Population!$Q$40*Population!$C$2+AO59*Population!$Q$42*Population!$C$2</f>
        <v>26.091335259336194</v>
      </c>
      <c r="E61" s="12">
        <f>IF(B60&gt;Population!$B$6*Population!$B$15,Population!$B$8,IF(Population!$J$6=1,D61,Population!$B$8*Population!$B$6*0.9/B60))</f>
        <v>23.761836638153017</v>
      </c>
      <c r="F61" s="12">
        <f>IF(B60&gt;Population!$B$6*0.75,Population!$B$8,E61)</f>
        <v>23.761836638153017</v>
      </c>
      <c r="G61" s="15">
        <f>IF(Population!$J$6=1,IF(E61&gt;H60,H60,E61),IF(E61&gt;X60,X60,E61))</f>
        <v>23.761836638153017</v>
      </c>
      <c r="H61" s="15">
        <f t="shared" si="22"/>
        <v>385</v>
      </c>
      <c r="I61" s="15">
        <f t="shared" si="23"/>
        <v>495</v>
      </c>
      <c r="J61" s="12">
        <f t="shared" si="18"/>
        <v>1.2857142857142858</v>
      </c>
      <c r="K61" s="12">
        <f>AB61*Population!$P$29+AC61*Population!$P$30+AD61*Population!$P$31+AE61*Population!$P$32+AF61*Population!$P$33+AG61*Population!$P$34+AH61*Population!$P$35+AI61*Population!$P$36+AJ61*Population!$P$37+AK61*Population!$P$38+AL61*Population!$P$37+AM61*Population!$P$38+AN61*Population!$P$39+AO61*Population!$P$40+AP61*Population!$P$41+AQ61*Population!$P$42+AR61*Population!$P$43+AS61*Population!$P$44</f>
        <v>4.3629759334240035</v>
      </c>
      <c r="L61" s="12">
        <f t="shared" si="7"/>
        <v>6.1719056202994851E-2</v>
      </c>
      <c r="M61" s="12">
        <f t="shared" si="24"/>
        <v>11.287158138430954</v>
      </c>
      <c r="N61" s="12">
        <f t="shared" si="19"/>
        <v>0.26670258620689657</v>
      </c>
      <c r="O61" s="12">
        <f t="shared" si="9"/>
        <v>684.82451281129204</v>
      </c>
      <c r="P61" s="12">
        <f t="shared" si="10"/>
        <v>207</v>
      </c>
      <c r="Q61" s="12">
        <f t="shared" si="11"/>
        <v>131.08774359435398</v>
      </c>
      <c r="R61" s="12">
        <f t="shared" si="12"/>
        <v>201.49104696660024</v>
      </c>
      <c r="S61" s="12">
        <f t="shared" si="25"/>
        <v>0.11060605514146976</v>
      </c>
      <c r="T61" s="12">
        <f t="shared" si="20"/>
        <v>0.87814998336195838</v>
      </c>
      <c r="U61" s="12">
        <f>Population!$B$13*MIN(Z60:AA60)</f>
        <v>11.775535743595469</v>
      </c>
      <c r="V61" s="12">
        <f>X60*Population!$B$14</f>
        <v>2.0252928283363825</v>
      </c>
      <c r="W61" s="12">
        <f>AO60*T60*Population!$B$12</f>
        <v>9.2113040436355789</v>
      </c>
      <c r="X61" s="12">
        <f t="shared" si="17"/>
        <v>338.08774359435398</v>
      </c>
      <c r="Y61" s="12">
        <f>IF(B60&lt;Vehicle!$B$1*0.75,Vehicle!$B$1*0.01,0)</f>
        <v>0</v>
      </c>
      <c r="Z61" s="14">
        <f t="shared" si="26"/>
        <v>49.928450420841671</v>
      </c>
      <c r="AA61" s="13">
        <f t="shared" si="27"/>
        <v>47.147046822136417</v>
      </c>
      <c r="AB61" s="18">
        <f>(G61+Population!$B$11*AB60)*Population!N$29</f>
        <v>165.84612673394184</v>
      </c>
      <c r="AC61" s="18">
        <f>AB60*Population!$B$12*Population!$N$29+AC60*Population!$B$11*Population!$N$30+Y61*Population!$L$30</f>
        <v>165.44735600454544</v>
      </c>
      <c r="AD61" s="14">
        <f>(AC60*Population!$B$12*0.5*Population!$N$30)+(AD60*Population!$B$11*Population!N$31)+Y61*Population!$L$31</f>
        <v>82.031391774192457</v>
      </c>
      <c r="AE61" s="13">
        <f>(AC60*Population!$B$12*0.5*Population!$N$30)+(AE60*Population!$B$11*Population!N$31)+Y61*Population!$L$32</f>
        <v>82.031391774192457</v>
      </c>
      <c r="AF61" s="14">
        <f>(AD60*Population!$B$12*Population!N$31)+(AF60*Population!$B$11*Population!N$33)+Y61*Population!$L$33</f>
        <v>80.970354006716221</v>
      </c>
      <c r="AG61" s="13">
        <f>(AE60*Population!$B$12*Population!N$31)+(AG60*Population!$B$11*Population!N$33)+Y61*Population!$L$34</f>
        <v>80.966110072101586</v>
      </c>
      <c r="AH61" s="14">
        <f>(AF60*Population!$B$12*Population!N$33)+(AH60*Population!$B$11*Population!N$35)+Y61*Population!$L$35</f>
        <v>79.095856118853462</v>
      </c>
      <c r="AI61" s="13">
        <f>(AG60*Population!$B$12*Population!N$33)+(AI60*Population!$B$11*Population!N$35)+Y61*Population!$L$36</f>
        <v>79.053019605803271</v>
      </c>
      <c r="AJ61" s="14">
        <f>(AH60*Population!$B$12*Population!N$35)+(AJ60*Population!$B$11*Population!N$37)+Y61*Population!$L$37</f>
        <v>77.096110024415481</v>
      </c>
      <c r="AK61" s="13">
        <f>(AI60*Population!$B$12*Population!N$35)+(AK60*Population!$B$11*Population!N$37)+Y61*Population!$L$38</f>
        <v>76.879191986210074</v>
      </c>
      <c r="AL61" s="14">
        <f>(AJ60*Population!$B$12*Population!N$37)+(AL60*Population!$B$11*Population!N$39)+Y61*Population!$L$39</f>
        <v>75.644795096112347</v>
      </c>
      <c r="AM61" s="13">
        <f>(AK60*Population!$B$12*Population!N$37)+(AM60*Population!$B$11*Population!N$39)+Y61*Population!$L$40</f>
        <v>74.920085186837085</v>
      </c>
      <c r="AN61" s="14">
        <f>(AL60*Population!$B$12*Population!N$39)+(AN60*Population!$B$11*Population!N$41)+Y61*Population!$L$41</f>
        <v>75.209078769098141</v>
      </c>
      <c r="AO61" s="13">
        <f>(AM60*Population!$B$12*Population!N$39)+(AO60*Population!$B$11*Population!N$41)+Y61*Population!$L$42</f>
        <v>73.416383565538425</v>
      </c>
      <c r="AP61" s="15">
        <f>(AN60+AO60)*Population!$B$12*Population!$N$41+AP60*Population!$B$11*Population!$N$43</f>
        <v>143.18632265419672</v>
      </c>
      <c r="AQ61" s="5">
        <f>AP60*Population!N$43*Population!$B$12+AQ60*Population!$B$11*Population!N$44</f>
        <v>136.66042028818228</v>
      </c>
      <c r="AR61" s="5">
        <f>AQ60*Population!N$44*Population!$B$12+AR60*Population!$B$11*Population!N$45</f>
        <v>103.22686405100136</v>
      </c>
      <c r="AS61" s="5">
        <f>(AR60*Population!$B$12+AS60)*Population!N$46</f>
        <v>205.28483834256787</v>
      </c>
    </row>
    <row r="62" spans="1:45">
      <c r="A62">
        <f>A61+Population!$B$2</f>
        <v>59</v>
      </c>
      <c r="B62" s="4">
        <f t="shared" si="4"/>
        <v>1861</v>
      </c>
      <c r="C62" s="54">
        <f t="shared" si="21"/>
        <v>750</v>
      </c>
      <c r="D62" s="12">
        <f>AE61*Population!$Q$32*Population!$C$2+AG61*Population!$Q$34*Population!$C$2+AI61*Population!$Q$36*Population!$C$2+AK61*Population!$Q$38*Population!$C$2+AM61*Population!$Q$40*Population!$C$2+AO60*Population!$Q$42*Population!$C$2</f>
        <v>26.131328528731856</v>
      </c>
      <c r="E62" s="12">
        <f>IF(B61&gt;Population!$B$6*Population!$B$15,Population!$B$8,IF(Population!$J$6=1,D62,Population!$B$8*Population!$B$6*0.9/B61))</f>
        <v>23.761836638153017</v>
      </c>
      <c r="F62" s="12">
        <f>IF(B61&gt;Population!$B$6*0.75,Population!$B$8,E62)</f>
        <v>23.761836638153017</v>
      </c>
      <c r="G62" s="15">
        <f>IF(Population!$J$6=1,IF(E62&gt;H61,H61,E62),IF(E62&gt;X61,X61,E62))</f>
        <v>23.761836638153017</v>
      </c>
      <c r="H62" s="15">
        <f t="shared" si="22"/>
        <v>385</v>
      </c>
      <c r="I62" s="15">
        <f t="shared" si="23"/>
        <v>495</v>
      </c>
      <c r="J62" s="12">
        <f t="shared" si="18"/>
        <v>1.2857142857142858</v>
      </c>
      <c r="K62" s="12">
        <f>AB62*Population!$P$29+AC62*Population!$P$30+AD62*Population!$P$31+AE62*Population!$P$32+AF62*Population!$P$33+AG62*Population!$P$34+AH62*Population!$P$35+AI62*Population!$P$36+AJ62*Population!$P$37+AK62*Population!$P$38+AL62*Population!$P$37+AM62*Population!$P$38+AN62*Population!$P$39+AO62*Population!$P$40+AP62*Population!$P$41+AQ62*Population!$P$42+AR62*Population!$P$43+AS62*Population!$P$44</f>
        <v>4.3917078046586004</v>
      </c>
      <c r="L62" s="12">
        <f t="shared" si="7"/>
        <v>6.1719056202994851E-2</v>
      </c>
      <c r="M62" s="12">
        <f t="shared" si="24"/>
        <v>11.304000094840024</v>
      </c>
      <c r="N62" s="12">
        <f t="shared" si="19"/>
        <v>0.26598602901665769</v>
      </c>
      <c r="O62" s="12">
        <f t="shared" si="9"/>
        <v>688.72821261094828</v>
      </c>
      <c r="P62" s="12">
        <f t="shared" si="10"/>
        <v>207</v>
      </c>
      <c r="Q62" s="12">
        <f t="shared" si="11"/>
        <v>131.63589369452586</v>
      </c>
      <c r="R62" s="12">
        <f t="shared" si="12"/>
        <v>205.28483834256787</v>
      </c>
      <c r="S62" s="12">
        <f t="shared" si="25"/>
        <v>0.11225982812970402</v>
      </c>
      <c r="T62" s="12">
        <f t="shared" si="20"/>
        <v>0.8795737498559113</v>
      </c>
      <c r="U62" s="12">
        <f>Population!$B$13*MIN(Z61:AA61)</f>
        <v>11.786761705534104</v>
      </c>
      <c r="V62" s="12">
        <f>X61*Population!$B$14</f>
        <v>2.0285264615661238</v>
      </c>
      <c r="W62" s="12">
        <f>AO61*T61*Population!$B$12</f>
        <v>9.2100851437961015</v>
      </c>
      <c r="X62" s="12">
        <f t="shared" si="17"/>
        <v>338.63589369452586</v>
      </c>
      <c r="Y62" s="12">
        <f>IF(B61&lt;Vehicle!$B$1*0.75,Vehicle!$B$1*0.01,0)</f>
        <v>0</v>
      </c>
      <c r="Z62" s="14">
        <f t="shared" si="26"/>
        <v>49.697684491909399</v>
      </c>
      <c r="AA62" s="13">
        <f t="shared" si="27"/>
        <v>47.177224688338811</v>
      </c>
      <c r="AB62" s="18">
        <f>(G62+Population!$B$11*AB61)*Population!N$29</f>
        <v>165.84829779518182</v>
      </c>
      <c r="AC62" s="18">
        <f>AB61*Population!$B$12*Population!$N$29+AC61*Population!$B$11*Population!$N$30+Y62*Population!$L$30</f>
        <v>165.46279647187919</v>
      </c>
      <c r="AD62" s="14">
        <f>(AC61*Population!$B$12*0.5*Population!$N$30)+(AD61*Population!$B$11*Population!N$31)+Y62*Population!$L$31</f>
        <v>82.060622903101731</v>
      </c>
      <c r="AE62" s="13">
        <f>(AC61*Population!$B$12*0.5*Population!$N$30)+(AE61*Population!$B$11*Population!N$31)+Y62*Population!$L$32</f>
        <v>82.060622903101731</v>
      </c>
      <c r="AF62" s="14">
        <f>(AD61*Population!$B$12*Population!N$31)+(AF61*Population!$B$11*Population!N$33)+Y62*Population!$L$33</f>
        <v>81.044621630559789</v>
      </c>
      <c r="AG62" s="13">
        <f>(AE61*Population!$B$12*Population!N$31)+(AG61*Population!$B$11*Population!N$33)+Y62*Population!$L$34</f>
        <v>81.040987439006997</v>
      </c>
      <c r="AH62" s="14">
        <f>(AF61*Population!$B$12*Population!N$33)+(AH61*Population!$B$11*Population!N$35)+Y62*Population!$L$35</f>
        <v>79.22244881571136</v>
      </c>
      <c r="AI62" s="13">
        <f>(AG61*Population!$B$12*Population!N$33)+(AI61*Population!$B$11*Population!N$35)+Y62*Population!$L$36</f>
        <v>79.1851966025948</v>
      </c>
      <c r="AJ62" s="14">
        <f>(AH61*Population!$B$12*Population!N$35)+(AJ61*Population!$B$11*Population!N$37)+Y62*Population!$L$37</f>
        <v>77.233215004873841</v>
      </c>
      <c r="AK62" s="13">
        <f>(AI61*Population!$B$12*Population!N$35)+(AK61*Population!$B$11*Population!N$37)+Y62*Population!$L$38</f>
        <v>77.041534490534204</v>
      </c>
      <c r="AL62" s="14">
        <f>(AJ61*Population!$B$12*Population!N$37)+(AL61*Population!$B$11*Population!N$39)+Y62*Population!$L$39</f>
        <v>75.706489718619352</v>
      </c>
      <c r="AM62" s="13">
        <f>(AK61*Population!$B$12*Population!N$37)+(AM61*Population!$B$11*Population!N$39)+Y62*Population!$L$40</f>
        <v>75.055573668180955</v>
      </c>
      <c r="AN62" s="14">
        <f>(AL61*Population!$B$12*Population!N$39)+(AN61*Population!$B$11*Population!N$41)+Y62*Population!$L$41</f>
        <v>75.126803016670948</v>
      </c>
      <c r="AO62" s="13">
        <f>(AM61*Population!$B$12*Population!N$39)+(AO61*Population!$B$11*Population!N$41)+Y62*Population!$L$42</f>
        <v>73.489826182547702</v>
      </c>
      <c r="AP62" s="15">
        <f>(AN61+AO61)*Population!$B$12*Population!$N$41+AP61*Population!$B$11*Population!$N$43</f>
        <v>143.03277604809671</v>
      </c>
      <c r="AQ62" s="5">
        <f>AP61*Population!N$43*Population!$B$12+AQ61*Population!$B$11*Population!N$44</f>
        <v>136.5951450373588</v>
      </c>
      <c r="AR62" s="5">
        <f>AQ61*Population!N$44*Population!$B$12+AR61*Population!$B$11*Population!N$45</f>
        <v>103.3915270737088</v>
      </c>
      <c r="AS62" s="5">
        <f>(AR61*Population!$B$12+AS61)*Population!N$46</f>
        <v>208.91554014937918</v>
      </c>
    </row>
    <row r="63" spans="1:45">
      <c r="A63">
        <f>A62+Population!$B$2</f>
        <v>60</v>
      </c>
      <c r="B63" s="4">
        <f t="shared" si="4"/>
        <v>1865</v>
      </c>
      <c r="C63" s="54">
        <f t="shared" si="21"/>
        <v>750</v>
      </c>
      <c r="D63" s="12">
        <f>AE62*Population!$Q$32*Population!$C$2+AG62*Population!$Q$34*Population!$C$2+AI62*Population!$Q$36*Population!$C$2+AK62*Population!$Q$38*Population!$C$2+AM62*Population!$Q$40*Population!$C$2+AO61*Population!$Q$42*Population!$C$2</f>
        <v>26.169973465443054</v>
      </c>
      <c r="E63" s="12">
        <f>IF(B62&gt;Population!$B$6*Population!$B$15,Population!$B$8,IF(Population!$J$6=1,D63,Population!$B$8*Population!$B$6*0.9/B62))</f>
        <v>23.761836638153017</v>
      </c>
      <c r="F63" s="12">
        <f>IF(B62&gt;Population!$B$6*0.75,Population!$B$8,E63)</f>
        <v>23.761836638153017</v>
      </c>
      <c r="G63" s="15">
        <f>IF(Population!$J$6=1,IF(E63&gt;H62,H62,E63),IF(E63&gt;X62,X62,E63))</f>
        <v>23.761836638153017</v>
      </c>
      <c r="H63" s="15">
        <f t="shared" si="22"/>
        <v>386</v>
      </c>
      <c r="I63" s="15">
        <f t="shared" si="23"/>
        <v>495</v>
      </c>
      <c r="J63" s="12">
        <f t="shared" si="18"/>
        <v>1.2823834196891191</v>
      </c>
      <c r="K63" s="12">
        <f>AB63*Population!$P$29+AC63*Population!$P$30+AD63*Population!$P$31+AE63*Population!$P$32+AF63*Population!$P$33+AG63*Population!$P$34+AH63*Population!$P$35+AI63*Population!$P$36+AJ63*Population!$P$37+AK63*Population!$P$38+AL63*Population!$P$37+AM63*Population!$P$38+AN63*Population!$P$39+AO63*Population!$P$40+AP63*Population!$P$41+AQ63*Population!$P$42+AR63*Population!$P$43+AS63*Population!$P$44</f>
        <v>4.419022442696444</v>
      </c>
      <c r="L63" s="12">
        <f t="shared" si="7"/>
        <v>6.1559162275007816E-2</v>
      </c>
      <c r="M63" s="12">
        <f t="shared" si="24"/>
        <v>11.319995237006113</v>
      </c>
      <c r="N63" s="12">
        <f t="shared" si="19"/>
        <v>0.26541554959785524</v>
      </c>
      <c r="O63" s="12">
        <f t="shared" si="9"/>
        <v>691.67172298872538</v>
      </c>
      <c r="P63" s="12">
        <f t="shared" si="10"/>
        <v>207</v>
      </c>
      <c r="Q63" s="12">
        <f t="shared" si="11"/>
        <v>132.16413850563731</v>
      </c>
      <c r="R63" s="12">
        <f t="shared" si="12"/>
        <v>208.91554014937918</v>
      </c>
      <c r="S63" s="12">
        <f t="shared" si="25"/>
        <v>0.11387943903126563</v>
      </c>
      <c r="T63" s="12">
        <f t="shared" si="20"/>
        <v>0.87866357125812777</v>
      </c>
      <c r="U63" s="12">
        <f>Population!$B$13*MIN(Z62:AA62)</f>
        <v>11.794306172084703</v>
      </c>
      <c r="V63" s="12">
        <f>X62*Population!$B$14</f>
        <v>2.0318153621671553</v>
      </c>
      <c r="W63" s="12">
        <f>AO62*T62*Population!$B$12</f>
        <v>9.2342459988060881</v>
      </c>
      <c r="X63" s="12">
        <f t="shared" si="17"/>
        <v>339.16413850563731</v>
      </c>
      <c r="Y63" s="12">
        <f>IF(B62&lt;Vehicle!$B$1*0.75,Vehicle!$B$1*0.01,0)</f>
        <v>0</v>
      </c>
      <c r="Z63" s="14">
        <f t="shared" si="26"/>
        <v>49.502189299024792</v>
      </c>
      <c r="AA63" s="13">
        <f t="shared" si="27"/>
        <v>47.219970098099793</v>
      </c>
      <c r="AB63" s="18">
        <f>(G63+Population!$B$11*AB62)*Population!N$29</f>
        <v>165.8501579492868</v>
      </c>
      <c r="AC63" s="18">
        <f>AB62*Population!$B$12*Population!$N$29+AC62*Population!$B$11*Population!$N$30+Y63*Population!$L$30</f>
        <v>165.47633820604503</v>
      </c>
      <c r="AD63" s="14">
        <f>(AC62*Population!$B$12*0.5*Population!$N$30)+(AD62*Population!$B$11*Population!N$31)+Y63*Population!$L$31</f>
        <v>82.086756921169581</v>
      </c>
      <c r="AE63" s="13">
        <f>(AC62*Population!$B$12*0.5*Population!$N$30)+(AE62*Population!$B$11*Population!N$31)+Y63*Population!$L$32</f>
        <v>82.086756921169581</v>
      </c>
      <c r="AF63" s="14">
        <f>(AD62*Population!$B$12*Population!N$31)+(AF62*Population!$B$11*Population!N$33)+Y63*Population!$L$33</f>
        <v>81.112390823764315</v>
      </c>
      <c r="AG63" s="13">
        <f>(AE62*Population!$B$12*Population!N$31)+(AG62*Population!$B$11*Population!N$33)+Y63*Population!$L$34</f>
        <v>81.109278771048707</v>
      </c>
      <c r="AH63" s="14">
        <f>(AF62*Population!$B$12*Population!N$33)+(AH62*Population!$B$11*Population!N$35)+Y63*Population!$L$35</f>
        <v>79.341348055722435</v>
      </c>
      <c r="AI63" s="13">
        <f>(AG62*Population!$B$12*Population!N$33)+(AI62*Population!$B$11*Population!N$35)+Y63*Population!$L$36</f>
        <v>79.308960218383504</v>
      </c>
      <c r="AJ63" s="14">
        <f>(AH62*Population!$B$12*Population!N$35)+(AJ62*Population!$B$11*Population!N$37)+Y63*Population!$L$37</f>
        <v>77.368557872338869</v>
      </c>
      <c r="AK63" s="13">
        <f>(AI62*Population!$B$12*Population!N$35)+(AK62*Population!$B$11*Population!N$37)+Y63*Population!$L$38</f>
        <v>77.19926421299887</v>
      </c>
      <c r="AL63" s="14">
        <f>(AJ62*Population!$B$12*Population!N$37)+(AL62*Population!$B$11*Population!N$39)+Y63*Population!$L$39</f>
        <v>75.77881811174602</v>
      </c>
      <c r="AM63" s="13">
        <f>(AK62*Population!$B$12*Population!N$37)+(AM62*Population!$B$11*Population!N$39)+Y63*Population!$L$40</f>
        <v>75.194630934962959</v>
      </c>
      <c r="AN63" s="14">
        <f>(AL62*Population!$B$12*Population!N$39)+(AN62*Population!$B$11*Population!N$41)+Y63*Population!$L$41</f>
        <v>75.065212941090451</v>
      </c>
      <c r="AO63" s="13">
        <f>(AM62*Population!$B$12*Population!N$39)+(AO62*Population!$B$11*Population!N$41)+Y63*Population!$L$42</f>
        <v>73.57197446634305</v>
      </c>
      <c r="AP63" s="15">
        <f>(AN62+AO62)*Population!$B$12*Population!$N$41+AP62*Population!$B$11*Population!$N$43</f>
        <v>142.90085940023488</v>
      </c>
      <c r="AQ63" s="5">
        <f>AP62*Population!N$43*Population!$B$12+AQ62*Population!$B$11*Population!N$44</f>
        <v>136.51782426239654</v>
      </c>
      <c r="AR63" s="5">
        <f>AQ62*Population!N$44*Population!$B$12+AR62*Population!$B$11*Population!N$45</f>
        <v>103.51627899878689</v>
      </c>
      <c r="AS63" s="5">
        <f>(AR62*Population!$B$12+AS62)*Population!N$46</f>
        <v>212.38515379331039</v>
      </c>
    </row>
    <row r="64" spans="1:45">
      <c r="A64">
        <f>A63+Population!$B$2</f>
        <v>61</v>
      </c>
      <c r="B64" s="4">
        <f t="shared" si="4"/>
        <v>1870</v>
      </c>
      <c r="C64" s="54">
        <f t="shared" si="21"/>
        <v>752</v>
      </c>
      <c r="D64" s="12">
        <f>AE63*Population!$Q$32*Population!$C$2+AG63*Population!$Q$34*Population!$C$2+AI63*Population!$Q$36*Population!$C$2+AK63*Population!$Q$38*Population!$C$2+AM63*Population!$Q$40*Population!$C$2+AO62*Population!$Q$42*Population!$C$2</f>
        <v>26.20723062127578</v>
      </c>
      <c r="E64" s="12">
        <f>IF(B63&gt;Population!$B$6*Population!$B$15,Population!$B$8,IF(Population!$J$6=1,D64,Population!$B$8*Population!$B$6*0.9/B63))</f>
        <v>23.761836638153017</v>
      </c>
      <c r="F64" s="12">
        <f>IF(B63&gt;Population!$B$6*0.75,Population!$B$8,E64)</f>
        <v>23.761836638153017</v>
      </c>
      <c r="G64" s="15">
        <f>IF(Population!$J$6=1,IF(E64&gt;H63,H63,E64),IF(E64&gt;X63,X63,E64))</f>
        <v>23.761836638153017</v>
      </c>
      <c r="H64" s="15">
        <f t="shared" si="22"/>
        <v>386</v>
      </c>
      <c r="I64" s="15">
        <f t="shared" si="23"/>
        <v>495</v>
      </c>
      <c r="J64" s="12">
        <f t="shared" si="18"/>
        <v>1.2823834196891191</v>
      </c>
      <c r="K64" s="12">
        <f>AB64*Population!$P$29+AC64*Population!$P$30+AD64*Population!$P$31+AE64*Population!$P$32+AF64*Population!$P$33+AG64*Population!$P$34+AH64*Population!$P$35+AI64*Population!$P$36+AJ64*Population!$P$37+AK64*Population!$P$38+AL64*Population!$P$37+AM64*Population!$P$38+AN64*Population!$P$39+AO64*Population!$P$40+AP64*Population!$P$41+AQ64*Population!$P$42+AR64*Population!$P$43+AS64*Population!$P$44</f>
        <v>4.4449821734484853</v>
      </c>
      <c r="L64" s="12">
        <f t="shared" si="7"/>
        <v>6.1559162275007816E-2</v>
      </c>
      <c r="M64" s="12">
        <f t="shared" si="24"/>
        <v>11.335145482539499</v>
      </c>
      <c r="N64" s="12">
        <f t="shared" si="19"/>
        <v>0.26470588235294118</v>
      </c>
      <c r="O64" s="12">
        <f t="shared" si="9"/>
        <v>695.60171155291698</v>
      </c>
      <c r="P64" s="12">
        <f t="shared" si="10"/>
        <v>207</v>
      </c>
      <c r="Q64" s="12">
        <f t="shared" si="11"/>
        <v>132.69914422354151</v>
      </c>
      <c r="R64" s="12">
        <f t="shared" si="12"/>
        <v>212.38515379331039</v>
      </c>
      <c r="S64" s="12">
        <f t="shared" si="25"/>
        <v>0.11534567053853893</v>
      </c>
      <c r="T64" s="12">
        <f t="shared" si="20"/>
        <v>0.88004959643404534</v>
      </c>
      <c r="U64" s="12">
        <f>Population!$B$13*MIN(Z63:AA63)</f>
        <v>11.804992524524948</v>
      </c>
      <c r="V64" s="12">
        <f>X63*Population!$B$14</f>
        <v>2.0349848310338241</v>
      </c>
      <c r="W64" s="12">
        <f>AO63*T63*Population!$B$12</f>
        <v>9.2350019755869681</v>
      </c>
      <c r="X64" s="12">
        <f t="shared" si="17"/>
        <v>339.69914422354151</v>
      </c>
      <c r="Y64" s="12">
        <f>IF(B63&lt;Vehicle!$B$1*0.75,Vehicle!$B$1*0.01,0)</f>
        <v>0</v>
      </c>
      <c r="Z64" s="14">
        <f t="shared" si="26"/>
        <v>49.311871415030794</v>
      </c>
      <c r="AA64" s="13">
        <f t="shared" si="27"/>
        <v>47.246941273741754</v>
      </c>
      <c r="AB64" s="18">
        <f>(G64+Population!$B$11*AB63)*Population!N$29</f>
        <v>165.85175171975743</v>
      </c>
      <c r="AC64" s="18">
        <f>AB63*Population!$B$12*Population!$N$29+AC63*Population!$B$11*Population!$N$30+Y64*Population!$L$30</f>
        <v>165.48820842355019</v>
      </c>
      <c r="AD64" s="14">
        <f>(AC63*Population!$B$12*0.5*Population!$N$30)+(AD63*Population!$B$11*Population!N$31)+Y64*Population!$L$31</f>
        <v>82.110103209416664</v>
      </c>
      <c r="AE64" s="13">
        <f>(AC63*Population!$B$12*0.5*Population!$N$30)+(AE63*Population!$B$11*Population!N$31)+Y64*Population!$L$32</f>
        <v>82.110103209416664</v>
      </c>
      <c r="AF64" s="14">
        <f>(AD63*Population!$B$12*Population!N$31)+(AF63*Population!$B$11*Population!N$33)+Y64*Population!$L$33</f>
        <v>81.17415321909705</v>
      </c>
      <c r="AG64" s="13">
        <f>(AE63*Population!$B$12*Population!N$31)+(AG63*Population!$B$11*Population!N$33)+Y64*Population!$L$34</f>
        <v>81.17148828744331</v>
      </c>
      <c r="AH64" s="14">
        <f>(AF63*Population!$B$12*Population!N$33)+(AH63*Population!$B$11*Population!N$35)+Y64*Population!$L$35</f>
        <v>79.452738102863123</v>
      </c>
      <c r="AI64" s="13">
        <f>(AG63*Population!$B$12*Population!N$33)+(AI63*Population!$B$11*Population!N$35)+Y64*Population!$L$36</f>
        <v>79.424586245280736</v>
      </c>
      <c r="AJ64" s="14">
        <f>(AH63*Population!$B$12*Population!N$35)+(AJ63*Population!$B$11*Population!N$37)+Y64*Population!$L$37</f>
        <v>77.501296302114199</v>
      </c>
      <c r="AK64" s="13">
        <f>(AI63*Population!$B$12*Population!N$35)+(AK63*Population!$B$11*Population!N$37)+Y64*Population!$L$38</f>
        <v>77.351848109860526</v>
      </c>
      <c r="AL64" s="14">
        <f>(AJ63*Population!$B$12*Population!N$37)+(AL63*Population!$B$11*Population!N$39)+Y64*Population!$L$39</f>
        <v>75.859992418150398</v>
      </c>
      <c r="AM64" s="13">
        <f>(AK63*Population!$B$12*Population!N$37)+(AM63*Population!$B$11*Population!N$39)+Y64*Population!$L$40</f>
        <v>75.33608358387383</v>
      </c>
      <c r="AN64" s="14">
        <f>(AL63*Population!$B$12*Population!N$39)+(AN63*Population!$B$11*Population!N$41)+Y64*Population!$L$41</f>
        <v>75.022835596347548</v>
      </c>
      <c r="AO64" s="13">
        <f>(AM63*Population!$B$12*Population!N$39)+(AO63*Population!$B$11*Population!N$41)+Y64*Population!$L$42</f>
        <v>73.662079270824833</v>
      </c>
      <c r="AP64" s="15">
        <f>(AN63+AO63)*Population!$B$12*Population!$N$41+AP63*Population!$B$11*Population!$N$43</f>
        <v>142.79153900358719</v>
      </c>
      <c r="AQ64" s="5">
        <f>AP63*Population!N$43*Population!$B$12+AQ63*Population!$B$11*Population!N$44</f>
        <v>136.43332119836404</v>
      </c>
      <c r="AR64" s="5">
        <f>AQ63*Population!N$44*Population!$B$12+AR63*Population!$B$11*Population!N$45</f>
        <v>103.60684136272903</v>
      </c>
      <c r="AS64" s="5">
        <f>(AR63*Population!$B$12+AS63)*Population!N$46</f>
        <v>215.6964039070678</v>
      </c>
    </row>
    <row r="65" spans="1:45">
      <c r="A65">
        <f>A64+Population!$B$2</f>
        <v>62</v>
      </c>
      <c r="B65" s="4">
        <f t="shared" si="4"/>
        <v>1874</v>
      </c>
      <c r="C65" s="54">
        <f t="shared" si="21"/>
        <v>753</v>
      </c>
      <c r="D65" s="12">
        <f>AE64*Population!$Q$32*Population!$C$2+AG64*Population!$Q$34*Population!$C$2+AI64*Population!$Q$36*Population!$C$2+AK64*Population!$Q$38*Population!$C$2+AM64*Population!$Q$40*Population!$C$2+AO63*Population!$Q$42*Population!$C$2</f>
        <v>26.243072114516735</v>
      </c>
      <c r="E65" s="12">
        <f>IF(B64&gt;Population!$B$6*Population!$B$15,Population!$B$8,IF(Population!$J$6=1,D65,Population!$B$8*Population!$B$6*0.9/B64))</f>
        <v>23.761836638153017</v>
      </c>
      <c r="F65" s="12">
        <f>IF(B64&gt;Population!$B$6*0.75,Population!$B$8,E65)</f>
        <v>23.761836638153017</v>
      </c>
      <c r="G65" s="15">
        <f>IF(Population!$J$6=1,IF(E65&gt;H64,H64,E65),IF(E65&gt;X64,X64,E65))</f>
        <v>23.761836638153017</v>
      </c>
      <c r="H65" s="15">
        <f t="shared" si="22"/>
        <v>387</v>
      </c>
      <c r="I65" s="15">
        <f t="shared" si="23"/>
        <v>495</v>
      </c>
      <c r="J65" s="12">
        <f t="shared" si="18"/>
        <v>1.2790697674418605</v>
      </c>
      <c r="K65" s="12">
        <f>AB65*Population!$P$29+AC65*Population!$P$30+AD65*Population!$P$31+AE65*Population!$P$32+AF65*Population!$P$33+AG65*Population!$P$34+AH65*Population!$P$35+AI65*Population!$P$36+AJ65*Population!$P$37+AK65*Population!$P$38+AL65*Population!$P$37+AM65*Population!$P$38+AN65*Population!$P$39+AO65*Population!$P$40+AP65*Population!$P$41+AQ65*Population!$P$42+AR65*Population!$P$43+AS65*Population!$P$44</f>
        <v>4.4696500051696049</v>
      </c>
      <c r="L65" s="12">
        <f t="shared" si="7"/>
        <v>6.1400094672230017E-2</v>
      </c>
      <c r="M65" s="12">
        <f t="shared" si="24"/>
        <v>11.349459540065984</v>
      </c>
      <c r="N65" s="12">
        <f t="shared" si="19"/>
        <v>0.26414087513340451</v>
      </c>
      <c r="O65" s="12">
        <f t="shared" si="9"/>
        <v>698.57642582809501</v>
      </c>
      <c r="P65" s="12">
        <f t="shared" si="10"/>
        <v>207</v>
      </c>
      <c r="Q65" s="12">
        <f t="shared" si="11"/>
        <v>133.21178708595249</v>
      </c>
      <c r="R65" s="12">
        <f t="shared" si="12"/>
        <v>215.6964039070678</v>
      </c>
      <c r="S65" s="12">
        <f t="shared" si="25"/>
        <v>0.1167836998634596</v>
      </c>
      <c r="T65" s="12">
        <f t="shared" si="20"/>
        <v>0.87910022502830099</v>
      </c>
      <c r="U65" s="12">
        <f>Population!$B$13*MIN(Z64:AA64)</f>
        <v>11.811735318435439</v>
      </c>
      <c r="V65" s="12">
        <f>X64*Population!$B$14</f>
        <v>2.0381948653412492</v>
      </c>
      <c r="W65" s="12">
        <f>AO64*T64*Population!$B$12</f>
        <v>9.2608975906831486</v>
      </c>
      <c r="X65" s="12">
        <f t="shared" si="17"/>
        <v>340.21178708595249</v>
      </c>
      <c r="Y65" s="12">
        <f>IF(B64&lt;Vehicle!$B$1*0.75,Vehicle!$B$1*0.01,0)</f>
        <v>0</v>
      </c>
      <c r="Z65" s="14">
        <f t="shared" si="26"/>
        <v>49.152688598621751</v>
      </c>
      <c r="AA65" s="13">
        <f t="shared" si="27"/>
        <v>47.285741070983249</v>
      </c>
      <c r="AB65" s="18">
        <f>(G65+Population!$B$11*AB64)*Population!N$29</f>
        <v>165.85311725410014</v>
      </c>
      <c r="AC65" s="18">
        <f>AB64*Population!$B$12*Population!$N$29+AC64*Population!$B$11*Population!$N$30+Y65*Population!$L$30</f>
        <v>165.49860819549838</v>
      </c>
      <c r="AD65" s="14">
        <f>(AC64*Population!$B$12*0.5*Population!$N$30)+(AD64*Population!$B$11*Population!N$31)+Y65*Population!$L$31</f>
        <v>82.130942924953715</v>
      </c>
      <c r="AE65" s="13">
        <f>(AC64*Population!$B$12*0.5*Population!$N$30)+(AE64*Population!$B$11*Population!N$31)+Y65*Population!$L$32</f>
        <v>82.130942924953715</v>
      </c>
      <c r="AF65" s="14">
        <f>(AD64*Population!$B$12*Population!N$31)+(AF64*Population!$B$11*Population!N$33)+Y65*Population!$L$33</f>
        <v>81.230373969647673</v>
      </c>
      <c r="AG65" s="13">
        <f>(AE64*Population!$B$12*Population!N$31)+(AG64*Population!$B$11*Population!N$33)+Y65*Population!$L$34</f>
        <v>81.22809191938434</v>
      </c>
      <c r="AH65" s="14">
        <f>(AF64*Population!$B$12*Population!N$33)+(AH64*Population!$B$11*Population!N$35)+Y65*Population!$L$35</f>
        <v>79.556846760759001</v>
      </c>
      <c r="AI65" s="13">
        <f>(AG64*Population!$B$12*Population!N$33)+(AI64*Population!$B$11*Population!N$35)+Y65*Population!$L$36</f>
        <v>79.532382585320605</v>
      </c>
      <c r="AJ65" s="14">
        <f>(AH64*Population!$B$12*Population!N$35)+(AJ64*Population!$B$11*Population!N$37)+Y65*Population!$L$37</f>
        <v>77.630735960712911</v>
      </c>
      <c r="AK65" s="13">
        <f>(AI64*Population!$B$12*Population!N$35)+(AK64*Population!$B$11*Population!N$37)+Y65*Population!$L$38</f>
        <v>77.498869486946774</v>
      </c>
      <c r="AL65" s="14">
        <f>(AJ64*Population!$B$12*Population!N$37)+(AL64*Population!$B$11*Population!N$39)+Y65*Population!$L$39</f>
        <v>75.948363029922788</v>
      </c>
      <c r="AM65" s="13">
        <f>(AK64*Population!$B$12*Population!N$37)+(AM64*Population!$B$11*Population!N$39)+Y65*Population!$L$40</f>
        <v>75.478851768835199</v>
      </c>
      <c r="AN65" s="14">
        <f>(AL64*Population!$B$12*Population!N$39)+(AN64*Population!$B$11*Population!N$41)+Y65*Population!$L$41</f>
        <v>74.998155963531843</v>
      </c>
      <c r="AO65" s="13">
        <f>(AM64*Population!$B$12*Population!N$39)+(AO64*Population!$B$11*Population!N$41)+Y65*Population!$L$42</f>
        <v>73.759332396448841</v>
      </c>
      <c r="AP65" s="15">
        <f>(AN64+AO64)*Population!$B$12*Population!$N$41+AP64*Population!$B$11*Population!$N$43</f>
        <v>142.7053202722135</v>
      </c>
      <c r="AQ65" s="5">
        <f>AP64*Population!N$43*Population!$B$12+AQ64*Population!$B$11*Population!N$44</f>
        <v>136.34591115198094</v>
      </c>
      <c r="AR65" s="5">
        <f>AQ64*Population!N$44*Population!$B$12+AR64*Population!$B$11*Population!N$45</f>
        <v>103.66856029173995</v>
      </c>
      <c r="AS65" s="5">
        <f>(AR64*Population!$B$12+AS64)*Population!N$46</f>
        <v>218.85265354412329</v>
      </c>
    </row>
    <row r="66" spans="1:45">
      <c r="A66">
        <f>A65+Population!$B$2</f>
        <v>63</v>
      </c>
      <c r="B66" s="4">
        <f t="shared" si="4"/>
        <v>1877</v>
      </c>
      <c r="C66" s="54">
        <f t="shared" si="21"/>
        <v>753</v>
      </c>
      <c r="D66" s="12">
        <f>AE65*Population!$Q$32*Population!$C$2+AG65*Population!$Q$34*Population!$C$2+AI65*Population!$Q$36*Population!$C$2+AK65*Population!$Q$38*Population!$C$2+AM65*Population!$Q$40*Population!$C$2+AO64*Population!$Q$42*Population!$C$2</f>
        <v>26.27748058651494</v>
      </c>
      <c r="E66" s="12">
        <f>IF(B65&gt;Population!$B$6*Population!$B$15,Population!$B$8,IF(Population!$J$6=1,D66,Population!$B$8*Population!$B$6*0.9/B65))</f>
        <v>23.761836638153017</v>
      </c>
      <c r="F66" s="12">
        <f>IF(B65&gt;Population!$B$6*0.75,Population!$B$8,E66)</f>
        <v>23.761836638153017</v>
      </c>
      <c r="G66" s="15">
        <f>IF(Population!$J$6=1,IF(E66&gt;H65,H65,E66),IF(E66&gt;X65,X65,E66))</f>
        <v>23.761836638153017</v>
      </c>
      <c r="H66" s="15">
        <f t="shared" si="22"/>
        <v>388</v>
      </c>
      <c r="I66" s="15">
        <f t="shared" si="23"/>
        <v>495</v>
      </c>
      <c r="J66" s="12">
        <f t="shared" ref="J66:J97" si="28">I66/H66</f>
        <v>1.2757731958762886</v>
      </c>
      <c r="K66" s="12">
        <f>AB66*Population!$P$29+AC66*Population!$P$30+AD66*Population!$P$31+AE66*Population!$P$32+AF66*Population!$P$33+AG66*Population!$P$34+AH66*Population!$P$35+AI66*Population!$P$36+AJ66*Population!$P$37+AK66*Population!$P$38+AL66*Population!$P$37+AM66*Population!$P$38+AN66*Population!$P$39+AO66*Population!$P$40+AP66*Population!$P$41+AQ66*Population!$P$42+AR66*Population!$P$43+AS66*Population!$P$44</f>
        <v>4.4930890905613383</v>
      </c>
      <c r="L66" s="12">
        <f t="shared" si="7"/>
        <v>6.1241847005549015E-2</v>
      </c>
      <c r="M66" s="12">
        <f t="shared" si="24"/>
        <v>11.362951805718771</v>
      </c>
      <c r="N66" s="12">
        <f t="shared" ref="N66:N97" si="29">I66/B66</f>
        <v>0.26371870005327652</v>
      </c>
      <c r="O66" s="12">
        <f t="shared" si="9"/>
        <v>700.54233836839353</v>
      </c>
      <c r="P66" s="12">
        <f t="shared" si="10"/>
        <v>207</v>
      </c>
      <c r="Q66" s="12">
        <f t="shared" si="11"/>
        <v>133.72883081580324</v>
      </c>
      <c r="R66" s="12">
        <f t="shared" si="12"/>
        <v>218.85265354412329</v>
      </c>
      <c r="S66" s="12">
        <f t="shared" si="25"/>
        <v>0.11819809323657206</v>
      </c>
      <c r="T66" s="12">
        <f t="shared" ref="T66:T97" si="30">X66/H66</f>
        <v>0.87816708973145163</v>
      </c>
      <c r="U66" s="12">
        <f>Population!$B$13*MIN(Z65:AA65)</f>
        <v>11.821435267745812</v>
      </c>
      <c r="V66" s="12">
        <f>X65*Population!$B$14</f>
        <v>2.0412707225157152</v>
      </c>
      <c r="W66" s="12">
        <f>AO65*T65*Population!$B$12</f>
        <v>9.2631208153793452</v>
      </c>
      <c r="X66" s="12">
        <f t="shared" si="17"/>
        <v>340.72883081580324</v>
      </c>
      <c r="Y66" s="12">
        <f>IF(B65&lt;Vehicle!$B$1*0.75,Vehicle!$B$1*0.01,0)</f>
        <v>0</v>
      </c>
      <c r="Z66" s="14">
        <f t="shared" si="26"/>
        <v>48.994973794551584</v>
      </c>
      <c r="AA66" s="13">
        <f t="shared" si="27"/>
        <v>47.308243603114192</v>
      </c>
      <c r="AB66" s="18">
        <f>(G66+Population!$B$11*AB65)*Population!N$29</f>
        <v>165.85428723690222</v>
      </c>
      <c r="AC66" s="18">
        <f>AB65*Population!$B$12*Population!$N$29+AC65*Population!$B$11*Population!$N$30+Y66*Population!$L$30</f>
        <v>165.50771527720306</v>
      </c>
      <c r="AD66" s="14">
        <f>(AC65*Population!$B$12*0.5*Population!$N$30)+(AD65*Population!$B$11*Population!N$31)+Y66*Population!$L$31</f>
        <v>82.149531188914949</v>
      </c>
      <c r="AE66" s="13">
        <f>(AC65*Population!$B$12*0.5*Population!$N$30)+(AE65*Population!$B$11*Population!N$31)+Y66*Population!$L$32</f>
        <v>82.149531188914949</v>
      </c>
      <c r="AF66" s="14">
        <f>(AD65*Population!$B$12*Population!N$31)+(AF65*Population!$B$11*Population!N$33)+Y66*Population!$L$33</f>
        <v>81.281491525124849</v>
      </c>
      <c r="AG66" s="13">
        <f>(AE65*Population!$B$12*Population!N$31)+(AG65*Population!$B$11*Population!N$33)+Y66*Population!$L$34</f>
        <v>81.279537346151045</v>
      </c>
      <c r="AH66" s="14">
        <f>(AF65*Population!$B$12*Population!N$33)+(AH65*Population!$B$11*Population!N$35)+Y66*Population!$L$35</f>
        <v>79.653935301874938</v>
      </c>
      <c r="AI66" s="13">
        <f>(AG65*Population!$B$12*Population!N$33)+(AI65*Population!$B$11*Population!N$35)+Y66*Population!$L$36</f>
        <v>79.632680573189418</v>
      </c>
      <c r="AJ66" s="14">
        <f>(AH65*Population!$B$12*Population!N$35)+(AJ65*Population!$B$11*Population!N$37)+Y66*Population!$L$37</f>
        <v>77.756315328712645</v>
      </c>
      <c r="AK66" s="13">
        <f>(AI65*Population!$B$12*Population!N$35)+(AK65*Population!$B$11*Population!N$37)+Y66*Population!$L$38</f>
        <v>77.640015765135416</v>
      </c>
      <c r="AL66" s="14">
        <f>(AJ65*Population!$B$12*Population!N$37)+(AL65*Population!$B$11*Population!N$39)+Y66*Population!$L$39</f>
        <v>76.042419712157198</v>
      </c>
      <c r="AM66" s="13">
        <f>(AK65*Population!$B$12*Population!N$37)+(AM65*Population!$B$11*Population!N$39)+Y66*Population!$L$40</f>
        <v>75.621952271166563</v>
      </c>
      <c r="AN66" s="14">
        <f>(AL65*Population!$B$12*Population!N$39)+(AN65*Population!$B$11*Population!N$41)+Y66*Population!$L$41</f>
        <v>74.989642742485202</v>
      </c>
      <c r="AO66" s="13">
        <f>(AM65*Population!$B$12*Population!N$39)+(AO65*Population!$B$11*Population!N$41)+Y66*Population!$L$42</f>
        <v>73.862888463274999</v>
      </c>
      <c r="AP66" s="15">
        <f>(AN65+AO65)*Population!$B$12*Population!$N$41+AP65*Population!$B$11*Population!$N$43</f>
        <v>142.64230202625276</v>
      </c>
      <c r="AQ66" s="5">
        <f>AP65*Population!N$43*Population!$B$12+AQ65*Population!$B$11*Population!N$44</f>
        <v>136.25930378243066</v>
      </c>
      <c r="AR66" s="5">
        <f>AQ65*Population!N$44*Population!$B$12+AR65*Population!$B$11*Population!N$45</f>
        <v>103.70639300727666</v>
      </c>
      <c r="AS66" s="5">
        <f>(AR65*Population!$B$12+AS65)*Population!N$46</f>
        <v>221.85782100504576</v>
      </c>
    </row>
    <row r="67" spans="1:45">
      <c r="A67">
        <f>A66+Population!$B$2</f>
        <v>64</v>
      </c>
      <c r="B67" s="4">
        <f t="shared" si="4"/>
        <v>1881</v>
      </c>
      <c r="C67" s="54">
        <f t="shared" ref="C67:C98" si="31">FLOOR(B67-I67-G67-SUM(AP67:AS67),1)</f>
        <v>755</v>
      </c>
      <c r="D67" s="12">
        <f>AE66*Population!$Q$32*Population!$C$2+AG66*Population!$Q$34*Population!$C$2+AI66*Population!$Q$36*Population!$C$2+AK66*Population!$Q$38*Population!$C$2+AM66*Population!$Q$40*Population!$C$2+AO65*Population!$Q$42*Population!$C$2</f>
        <v>26.310448193861699</v>
      </c>
      <c r="E67" s="12">
        <f>IF(B66&gt;Population!$B$6*Population!$B$15,Population!$B$8,IF(Population!$J$6=1,D67,Population!$B$8*Population!$B$6*0.9/B66))</f>
        <v>23.761836638153017</v>
      </c>
      <c r="F67" s="12">
        <f>IF(B66&gt;Population!$B$6*0.75,Population!$B$8,E67)</f>
        <v>23.761836638153017</v>
      </c>
      <c r="G67" s="15">
        <f>IF(Population!$J$6=1,IF(E67&gt;H66,H66,E67),IF(E67&gt;X66,X66,E67))</f>
        <v>23.761836638153017</v>
      </c>
      <c r="H67" s="15">
        <f t="shared" si="22"/>
        <v>388</v>
      </c>
      <c r="I67" s="15">
        <f t="shared" si="23"/>
        <v>495</v>
      </c>
      <c r="J67" s="12">
        <f t="shared" si="28"/>
        <v>1.2757731958762886</v>
      </c>
      <c r="K67" s="12">
        <f>AB67*Population!$P$29+AC67*Population!$P$30+AD67*Population!$P$31+AE67*Population!$P$32+AF67*Population!$P$33+AG67*Population!$P$34+AH67*Population!$P$35+AI67*Population!$P$36+AJ67*Population!$P$37+AK67*Population!$P$38+AL67*Population!$P$37+AM67*Population!$P$38+AN67*Population!$P$39+AO67*Population!$P$40+AP67*Population!$P$41+AQ67*Population!$P$42+AR67*Population!$P$43+AS67*Population!$P$44</f>
        <v>4.5153622402772839</v>
      </c>
      <c r="L67" s="12">
        <f t="shared" si="7"/>
        <v>6.1241847005549015E-2</v>
      </c>
      <c r="M67" s="12">
        <f t="shared" si="24"/>
        <v>11.375641369672421</v>
      </c>
      <c r="N67" s="12">
        <f t="shared" si="29"/>
        <v>0.26315789473684209</v>
      </c>
      <c r="O67" s="12">
        <f t="shared" si="9"/>
        <v>703.50952190832697</v>
      </c>
      <c r="P67" s="12">
        <f t="shared" si="10"/>
        <v>207</v>
      </c>
      <c r="Q67" s="12">
        <f t="shared" si="11"/>
        <v>134.24523904583651</v>
      </c>
      <c r="R67" s="12">
        <f t="shared" si="12"/>
        <v>221.85782100504576</v>
      </c>
      <c r="S67" s="12">
        <f t="shared" si="25"/>
        <v>0.11946640033778727</v>
      </c>
      <c r="T67" s="12">
        <f t="shared" si="30"/>
        <v>0.8794980387779292</v>
      </c>
      <c r="U67" s="12">
        <f>Population!$B$13*MIN(Z66:AA66)</f>
        <v>11.827060900778548</v>
      </c>
      <c r="V67" s="12">
        <f>X66*Population!$B$14</f>
        <v>2.0443729848948196</v>
      </c>
      <c r="W67" s="12">
        <f>AO66*T66*Population!$B$12</f>
        <v>9.2662796858504297</v>
      </c>
      <c r="X67" s="12">
        <f t="shared" si="17"/>
        <v>341.24523904583651</v>
      </c>
      <c r="Y67" s="12">
        <f>IF(B66&lt;Vehicle!$B$1*0.75,Vehicle!$B$1*0.01,0)</f>
        <v>0</v>
      </c>
      <c r="Z67" s="14">
        <f t="shared" si="26"/>
        <v>48.841120784438715</v>
      </c>
      <c r="AA67" s="13">
        <f t="shared" si="27"/>
        <v>47.318283069705558</v>
      </c>
      <c r="AB67" s="18">
        <f>(G67+Population!$B$11*AB66)*Population!N$29</f>
        <v>165.85528967214998</v>
      </c>
      <c r="AC67" s="18">
        <f>AB66*Population!$B$12*Population!$N$29+AC66*Population!$B$11*Population!$N$30+Y67*Population!$L$30</f>
        <v>165.51568666341115</v>
      </c>
      <c r="AD67" s="14">
        <f>(AC66*Population!$B$12*0.5*Population!$N$30)+(AD66*Population!$B$11*Population!N$31)+Y67*Population!$L$31</f>
        <v>82.166099162112062</v>
      </c>
      <c r="AE67" s="13">
        <f>(AC66*Population!$B$12*0.5*Population!$N$30)+(AE66*Population!$B$11*Population!N$31)+Y67*Population!$L$32</f>
        <v>82.166099162112062</v>
      </c>
      <c r="AF67" s="14">
        <f>(AD66*Population!$B$12*Population!N$31)+(AF66*Population!$B$11*Population!N$33)+Y67*Population!$L$33</f>
        <v>81.327917752557198</v>
      </c>
      <c r="AG67" s="13">
        <f>(AE66*Population!$B$12*Population!N$31)+(AG66*Population!$B$11*Population!N$33)+Y67*Population!$L$34</f>
        <v>81.326244338293264</v>
      </c>
      <c r="AH67" s="14">
        <f>(AF66*Population!$B$12*Population!N$33)+(AH66*Population!$B$11*Population!N$35)+Y67*Population!$L$35</f>
        <v>79.744289820039057</v>
      </c>
      <c r="AI67" s="13">
        <f>(AG66*Population!$B$12*Population!N$33)+(AI66*Population!$B$11*Population!N$35)+Y67*Population!$L$36</f>
        <v>79.725827557999068</v>
      </c>
      <c r="AJ67" s="14">
        <f>(AH66*Population!$B$12*Population!N$35)+(AJ66*Population!$B$11*Population!N$37)+Y67*Population!$L$37</f>
        <v>77.877591280826351</v>
      </c>
      <c r="AK67" s="13">
        <f>(AI66*Population!$B$12*Population!N$35)+(AK66*Population!$B$11*Population!N$37)+Y67*Population!$L$38</f>
        <v>77.775066776526728</v>
      </c>
      <c r="AL67" s="14">
        <f>(AJ66*Population!$B$12*Population!N$37)+(AL66*Population!$B$11*Population!N$39)+Y67*Population!$L$39</f>
        <v>76.140790400162956</v>
      </c>
      <c r="AM67" s="13">
        <f>(AK66*Population!$B$12*Population!N$37)+(AM66*Population!$B$11*Population!N$39)+Y67*Population!$L$40</f>
        <v>75.764499381671698</v>
      </c>
      <c r="AN67" s="14">
        <f>(AL66*Population!$B$12*Population!N$39)+(AN66*Population!$B$11*Population!N$41)+Y67*Population!$L$41</f>
        <v>74.995770576689665</v>
      </c>
      <c r="AO67" s="13">
        <f>(AM66*Population!$B$12*Population!N$39)+(AO66*Population!$B$11*Population!N$41)+Y67*Population!$L$42</f>
        <v>73.971884061051284</v>
      </c>
      <c r="AP67" s="15">
        <f>(AN66+AO66)*Population!$B$12*Population!$N$41+AP66*Population!$B$11*Population!$N$43</f>
        <v>142.60222948074568</v>
      </c>
      <c r="AQ67" s="5">
        <f>AP66*Population!N$43*Population!$B$12+AQ66*Population!$B$11*Population!N$44</f>
        <v>136.17666975951582</v>
      </c>
      <c r="AR67" s="5">
        <f>AQ66*Population!N$44*Population!$B$12+AR66*Population!$B$11*Population!N$45</f>
        <v>103.72490000361461</v>
      </c>
      <c r="AS67" s="5">
        <f>(AR66*Population!$B$12+AS66)*Population!N$46</f>
        <v>224.71629903537786</v>
      </c>
    </row>
    <row r="68" spans="1:45">
      <c r="A68">
        <f>A67+Population!$B$2</f>
        <v>65</v>
      </c>
      <c r="B68" s="4">
        <f t="shared" ref="B68:B115" si="32">FLOOR(SUM(AB68:AS68),1)</f>
        <v>1885</v>
      </c>
      <c r="C68" s="54">
        <f t="shared" si="31"/>
        <v>756</v>
      </c>
      <c r="D68" s="12">
        <f>AE67*Population!$Q$32*Population!$C$2+AG67*Population!$Q$34*Population!$C$2+AI67*Population!$Q$36*Population!$C$2+AK67*Population!$Q$38*Population!$C$2+AM67*Population!$Q$40*Population!$C$2+AO66*Population!$Q$42*Population!$C$2</f>
        <v>26.341975640656877</v>
      </c>
      <c r="E68" s="12">
        <f>IF(B67&gt;Population!$B$6*Population!$B$15,Population!$B$8,IF(Population!$J$6=1,D68,Population!$B$8*Population!$B$6*0.9/B67))</f>
        <v>23.761836638153017</v>
      </c>
      <c r="F68" s="12">
        <f>IF(B67&gt;Population!$B$6*0.75,Population!$B$8,E68)</f>
        <v>23.761836638153017</v>
      </c>
      <c r="G68" s="15">
        <f>IF(Population!$J$6=1,IF(E68&gt;H67,H67,E68),IF(E68&gt;X67,X67,E68))</f>
        <v>23.761836638153017</v>
      </c>
      <c r="H68" s="15">
        <f t="shared" ref="H68:H103" si="33">FLOOR(AG68+AI68+AK68+AM68+AO68,1)</f>
        <v>389</v>
      </c>
      <c r="I68" s="15">
        <f t="shared" ref="I68:I103" si="34">FLOOR(SUM(AB68:AE68),1)</f>
        <v>495</v>
      </c>
      <c r="J68" s="12">
        <f t="shared" si="28"/>
        <v>1.2724935732647815</v>
      </c>
      <c r="K68" s="12">
        <f>AB68*Population!$P$29+AC68*Population!$P$30+AD68*Population!$P$31+AE68*Population!$P$32+AF68*Population!$P$33+AG68*Population!$P$34+AH68*Population!$P$35+AI68*Population!$P$36+AJ68*Population!$P$37+AK68*Population!$P$38+AL68*Population!$P$37+AM68*Population!$P$38+AN68*Population!$P$39+AO68*Population!$P$40+AP68*Population!$P$41+AQ68*Population!$P$42+AR68*Population!$P$43+AS68*Population!$P$44</f>
        <v>4.536531488240704</v>
      </c>
      <c r="L68" s="12">
        <f t="shared" ref="L68:L115" si="35">G68/H68</f>
        <v>6.108441295155017E-2</v>
      </c>
      <c r="M68" s="12">
        <f t="shared" ref="M68:M103" si="36">(AF68+AG68+AH68+AI68+AJ68+AK68)/21*0.5</f>
        <v>11.387551127387313</v>
      </c>
      <c r="N68" s="12">
        <f t="shared" si="29"/>
        <v>0.2625994694960212</v>
      </c>
      <c r="O68" s="12">
        <f t="shared" ref="O68:O115" si="37">B68-I68-P68*2-Q68*2</f>
        <v>706.5333595152822</v>
      </c>
      <c r="P68" s="12">
        <f t="shared" ref="P68:P115" si="38">CEILING(I68/2.4,1)</f>
        <v>207</v>
      </c>
      <c r="Q68" s="12">
        <f t="shared" ref="Q68:Q115" si="39">X68-P68</f>
        <v>134.7333202423589</v>
      </c>
      <c r="R68" s="12">
        <f t="shared" ref="R68:R103" si="40">SUM(AS67:AS67)</f>
        <v>224.71629903537786</v>
      </c>
      <c r="S68" s="12">
        <f t="shared" ref="S68:S99" si="41">SUM(AS68:AS68)/B68</f>
        <v>0.12065404617750708</v>
      </c>
      <c r="T68" s="12">
        <f t="shared" si="30"/>
        <v>0.87849182581583263</v>
      </c>
      <c r="U68" s="12">
        <f>Population!$B$13*MIN(Z67:AA67)</f>
        <v>11.829570767426389</v>
      </c>
      <c r="V68" s="12">
        <f>X67*Population!$B$14</f>
        <v>2.0474714342750193</v>
      </c>
      <c r="W68" s="12">
        <f>AO67*T67*Population!$B$12</f>
        <v>9.2940181366289956</v>
      </c>
      <c r="X68" s="12">
        <f t="shared" si="17"/>
        <v>341.7333202423589</v>
      </c>
      <c r="Y68" s="12">
        <f>IF(B67&lt;Vehicle!$B$1*0.75,Vehicle!$B$1*0.01,0)</f>
        <v>0</v>
      </c>
      <c r="Z68" s="14">
        <f t="shared" ref="Z68:Z99" si="42">(AF68+AH68+AJ68+AL68+AN68)-X68</f>
        <v>48.716434469570117</v>
      </c>
      <c r="AA68" s="13">
        <f t="shared" ref="AA68:AA99" si="43">(AG68+AI68+AK68+AM68+AO68)-X68</f>
        <v>47.342507649847335</v>
      </c>
      <c r="AB68" s="18">
        <f>(G68+Population!$B$11*AB67)*Population!N$29</f>
        <v>165.85614855351488</v>
      </c>
      <c r="AC68" s="18">
        <f>AB67*Population!$B$12*Population!$N$29+AC67*Population!$B$11*Population!$N$30+Y68*Population!$L$30</f>
        <v>165.52266088971635</v>
      </c>
      <c r="AD68" s="14">
        <f>(AC67*Population!$B$12*0.5*Population!$N$30)+(AD67*Population!$B$11*Population!N$31)+Y68*Population!$L$31</f>
        <v>82.180856004945639</v>
      </c>
      <c r="AE68" s="13">
        <f>(AC67*Population!$B$12*0.5*Population!$N$30)+(AE67*Population!$B$11*Population!N$31)+Y68*Population!$L$32</f>
        <v>82.180856004945639</v>
      </c>
      <c r="AF68" s="14">
        <f>(AD67*Population!$B$12*Population!N$31)+(AF67*Population!$B$11*Population!N$33)+Y68*Population!$L$33</f>
        <v>81.370038335892104</v>
      </c>
      <c r="AG68" s="13">
        <f>(AE67*Population!$B$12*Population!N$31)+(AG67*Population!$B$11*Population!N$33)+Y68*Population!$L$34</f>
        <v>81.36860534774911</v>
      </c>
      <c r="AH68" s="14">
        <f>(AF67*Population!$B$12*Population!N$33)+(AH67*Population!$B$11*Population!N$35)+Y68*Population!$L$35</f>
        <v>79.828213849778081</v>
      </c>
      <c r="AI68" s="13">
        <f>(AG67*Population!$B$12*Population!N$33)+(AI67*Population!$B$11*Population!N$35)+Y68*Population!$L$36</f>
        <v>79.812180605995025</v>
      </c>
      <c r="AJ68" s="14">
        <f>(AH67*Population!$B$12*Population!N$35)+(AJ67*Population!$B$11*Population!N$37)+Y68*Population!$L$37</f>
        <v>77.994225516712518</v>
      </c>
      <c r="AK68" s="13">
        <f>(AI67*Population!$B$12*Population!N$35)+(AK67*Population!$B$11*Population!N$37)+Y68*Population!$L$38</f>
        <v>77.903883694140347</v>
      </c>
      <c r="AL68" s="14">
        <f>(AJ67*Population!$B$12*Population!N$37)+(AL67*Population!$B$11*Population!N$39)+Y68*Population!$L$39</f>
        <v>76.242238114447872</v>
      </c>
      <c r="AM68" s="13">
        <f>(AK67*Population!$B$12*Population!N$37)+(AM67*Population!$B$11*Population!N$39)+Y68*Population!$L$40</f>
        <v>75.905703986495581</v>
      </c>
      <c r="AN68" s="14">
        <f>(AL67*Population!$B$12*Population!N$39)+(AN67*Population!$B$11*Population!N$41)+Y68*Population!$L$41</f>
        <v>75.015038895098456</v>
      </c>
      <c r="AO68" s="13">
        <f>(AM67*Population!$B$12*Population!N$39)+(AO67*Population!$B$11*Population!N$41)+Y68*Population!$L$42</f>
        <v>74.085454257826186</v>
      </c>
      <c r="AP68" s="15">
        <f>(AN67+AO67)*Population!$B$12*Population!$N$41+AP67*Population!$B$11*Population!$N$43</f>
        <v>142.58454523469976</v>
      </c>
      <c r="AQ68" s="5">
        <f>AP67*Population!N$43*Population!$B$12+AQ67*Population!$B$11*Population!N$44</f>
        <v>136.10067096279519</v>
      </c>
      <c r="AR68" s="5">
        <f>AQ67*Population!N$44*Population!$B$12+AR67*Population!$B$11*Population!N$45</f>
        <v>103.7282424623359</v>
      </c>
      <c r="AS68" s="5">
        <f>(AR67*Population!$B$12+AS67)*Population!N$46</f>
        <v>227.43287704460084</v>
      </c>
    </row>
    <row r="69" spans="1:45">
      <c r="A69">
        <f>A68+Population!$B$2</f>
        <v>66</v>
      </c>
      <c r="B69" s="4">
        <f t="shared" si="32"/>
        <v>1888</v>
      </c>
      <c r="C69" s="54">
        <f t="shared" si="31"/>
        <v>756</v>
      </c>
      <c r="D69" s="12">
        <f>AE68*Population!$Q$32*Population!$C$2+AG68*Population!$Q$34*Population!$C$2+AI68*Population!$Q$36*Population!$C$2+AK68*Population!$Q$38*Population!$C$2+AM68*Population!$Q$40*Population!$C$2+AO67*Population!$Q$42*Population!$C$2</f>
        <v>26.372071254452042</v>
      </c>
      <c r="E69" s="12">
        <f>IF(B68&gt;Population!$B$6*Population!$B$15,Population!$B$8,IF(Population!$J$6=1,D69,Population!$B$8*Population!$B$6*0.9/B68))</f>
        <v>23.761836638153017</v>
      </c>
      <c r="F69" s="12">
        <f>IF(B68&gt;Population!$B$6*0.75,Population!$B$8,E69)</f>
        <v>23.761836638153017</v>
      </c>
      <c r="G69" s="15">
        <f>IF(Population!$J$6=1,IF(E69&gt;H68,H68,E69),IF(E69&gt;X68,X68,E69))</f>
        <v>23.761836638153017</v>
      </c>
      <c r="H69" s="15">
        <f t="shared" si="33"/>
        <v>389</v>
      </c>
      <c r="I69" s="15">
        <f t="shared" si="34"/>
        <v>495</v>
      </c>
      <c r="J69" s="12">
        <f t="shared" si="28"/>
        <v>1.2724935732647815</v>
      </c>
      <c r="K69" s="12">
        <f>AB69*Population!$P$29+AC69*Population!$P$30+AD69*Population!$P$31+AE69*Population!$P$32+AF69*Population!$P$33+AG69*Population!$P$34+AH69*Population!$P$35+AI69*Population!$P$36+AJ69*Population!$P$37+AK69*Population!$P$38+AL69*Population!$P$37+AM69*Population!$P$38+AN69*Population!$P$39+AO69*Population!$P$40+AP69*Population!$P$41+AQ69*Population!$P$42+AR69*Population!$P$43+AS69*Population!$P$44</f>
        <v>4.5566577084751501</v>
      </c>
      <c r="L69" s="12">
        <f t="shared" si="35"/>
        <v>6.108441295155017E-2</v>
      </c>
      <c r="M69" s="12">
        <f t="shared" si="36"/>
        <v>11.398706989550188</v>
      </c>
      <c r="N69" s="12">
        <f t="shared" si="29"/>
        <v>0.2621822033898305</v>
      </c>
      <c r="O69" s="12">
        <f t="shared" si="37"/>
        <v>708.55818152679615</v>
      </c>
      <c r="P69" s="12">
        <f t="shared" si="38"/>
        <v>207</v>
      </c>
      <c r="Q69" s="12">
        <f t="shared" si="39"/>
        <v>135.22090923660193</v>
      </c>
      <c r="R69" s="12">
        <f t="shared" si="40"/>
        <v>227.43287704460084</v>
      </c>
      <c r="S69" s="12">
        <f t="shared" si="41"/>
        <v>0.12182874306350576</v>
      </c>
      <c r="T69" s="12">
        <f t="shared" si="30"/>
        <v>0.8797452679604163</v>
      </c>
      <c r="U69" s="12">
        <f>Population!$B$13*MIN(Z68:AA68)</f>
        <v>11.835626912461834</v>
      </c>
      <c r="V69" s="12">
        <f>X68*Population!$B$14</f>
        <v>2.0503999214541535</v>
      </c>
      <c r="W69" s="12">
        <f>AO68*T68*Population!$B$12</f>
        <v>9.297637996764724</v>
      </c>
      <c r="X69" s="12">
        <f t="shared" si="17"/>
        <v>342.22090923660193</v>
      </c>
      <c r="Y69" s="12">
        <f>IF(B68&lt;Vehicle!$B$1*0.75,Vehicle!$B$1*0.01,0)</f>
        <v>0</v>
      </c>
      <c r="Z69" s="14">
        <f t="shared" si="42"/>
        <v>48.590942148887223</v>
      </c>
      <c r="AA69" s="13">
        <f t="shared" si="43"/>
        <v>47.352194716497138</v>
      </c>
      <c r="AB69" s="18">
        <f>(G69+Population!$B$11*AB68)*Population!N$29</f>
        <v>165.85688443865124</v>
      </c>
      <c r="AC69" s="18">
        <f>AB68*Population!$B$12*Population!$N$29+AC68*Population!$B$11*Population!$N$30+Y69*Population!$L$30</f>
        <v>165.52876010047132</v>
      </c>
      <c r="AD69" s="14">
        <f>(AC68*Population!$B$12*0.5*Population!$N$30)+(AD68*Population!$B$11*Population!N$31)+Y69*Population!$L$31</f>
        <v>82.193990720077949</v>
      </c>
      <c r="AE69" s="13">
        <f>(AC68*Population!$B$12*0.5*Population!$N$30)+(AE68*Population!$B$11*Population!N$31)+Y69*Population!$L$32</f>
        <v>82.193990720077949</v>
      </c>
      <c r="AF69" s="14">
        <f>(AD68*Population!$B$12*Population!N$31)+(AF68*Population!$B$11*Population!N$33)+Y69*Population!$L$33</f>
        <v>81.408213397903012</v>
      </c>
      <c r="AG69" s="13">
        <f>(AE68*Population!$B$12*Population!N$31)+(AG68*Population!$B$11*Population!N$33)+Y69*Population!$L$34</f>
        <v>81.406986292898466</v>
      </c>
      <c r="AH69" s="14">
        <f>(AF68*Population!$B$12*Population!N$33)+(AH68*Population!$B$11*Population!N$35)+Y69*Population!$L$35</f>
        <v>79.906022109210994</v>
      </c>
      <c r="AI69" s="13">
        <f>(AG68*Population!$B$12*Population!N$33)+(AI68*Population!$B$11*Population!N$35)+Y69*Population!$L$36</f>
        <v>79.89210119746312</v>
      </c>
      <c r="AJ69" s="14">
        <f>(AH68*Population!$B$12*Population!N$35)+(AJ68*Population!$B$11*Population!N$37)+Y69*Population!$L$37</f>
        <v>78.105971900215579</v>
      </c>
      <c r="AK69" s="13">
        <f>(AI68*Population!$B$12*Population!N$35)+(AK68*Population!$B$11*Population!N$37)+Y69*Population!$L$38</f>
        <v>78.026398663416728</v>
      </c>
      <c r="AL69" s="14">
        <f>(AJ68*Population!$B$12*Population!N$37)+(AL68*Population!$B$11*Population!N$39)+Y69*Population!$L$39</f>
        <v>76.34565638676132</v>
      </c>
      <c r="AM69" s="13">
        <f>(AK68*Population!$B$12*Population!N$37)+(AM68*Population!$B$11*Population!N$39)+Y69*Population!$L$40</f>
        <v>76.044871206642384</v>
      </c>
      <c r="AN69" s="14">
        <f>(AL68*Population!$B$12*Population!N$39)+(AN68*Population!$B$11*Population!N$41)+Y69*Population!$L$41</f>
        <v>75.045987591398188</v>
      </c>
      <c r="AO69" s="13">
        <f>(AM68*Population!$B$12*Population!N$39)+(AO68*Population!$B$11*Population!N$41)+Y69*Population!$L$42</f>
        <v>74.202746592678352</v>
      </c>
      <c r="AP69" s="15">
        <f>(AN68+AO68)*Population!$B$12*Population!$N$41+AP68*Population!$B$11*Population!$N$43</f>
        <v>142.5884376995086</v>
      </c>
      <c r="AQ69" s="5">
        <f>AP68*Population!N$43*Population!$B$12+AQ68*Population!$B$11*Population!N$44</f>
        <v>136.03349341023397</v>
      </c>
      <c r="AR69" s="5">
        <f>AQ68*Population!N$44*Population!$B$12+AR68*Population!$B$11*Population!N$45</f>
        <v>103.72018443102101</v>
      </c>
      <c r="AS69" s="5">
        <f>(AR68*Population!$B$12+AS68)*Population!N$46</f>
        <v>230.01266690389886</v>
      </c>
    </row>
    <row r="70" spans="1:45">
      <c r="A70">
        <f>A69+Population!$B$2</f>
        <v>67</v>
      </c>
      <c r="B70" s="4">
        <f t="shared" si="32"/>
        <v>1891</v>
      </c>
      <c r="C70" s="54">
        <f t="shared" si="31"/>
        <v>757</v>
      </c>
      <c r="D70" s="12">
        <f>AE69*Population!$Q$32*Population!$C$2+AG69*Population!$Q$34*Population!$C$2+AI69*Population!$Q$36*Population!$C$2+AK69*Population!$Q$38*Population!$C$2+AM69*Population!$Q$40*Population!$C$2+AO68*Population!$Q$42*Population!$C$2</f>
        <v>26.400750108643017</v>
      </c>
      <c r="E70" s="12">
        <f>IF(B69&gt;Population!$B$6*Population!$B$15,Population!$B$8,IF(Population!$J$6=1,D70,Population!$B$8*Population!$B$6*0.9/B69))</f>
        <v>23.761836638153017</v>
      </c>
      <c r="F70" s="12">
        <f>IF(B69&gt;Population!$B$6*0.75,Population!$B$8,E70)</f>
        <v>23.761836638153017</v>
      </c>
      <c r="G70" s="15">
        <f>IF(Population!$J$6=1,IF(E70&gt;H69,H69,E70),IF(E70&gt;X69,X69,E70))</f>
        <v>23.761836638153017</v>
      </c>
      <c r="H70" s="15">
        <f t="shared" si="33"/>
        <v>390</v>
      </c>
      <c r="I70" s="15">
        <f t="shared" si="34"/>
        <v>495</v>
      </c>
      <c r="J70" s="12">
        <f t="shared" si="28"/>
        <v>1.2692307692307692</v>
      </c>
      <c r="K70" s="12">
        <f>AB70*Population!$P$29+AC70*Population!$P$30+AD70*Population!$P$31+AE70*Population!$P$32+AF70*Population!$P$33+AG70*Population!$P$34+AH70*Population!$P$35+AI70*Population!$P$36+AJ70*Population!$P$37+AK70*Population!$P$38+AL70*Population!$P$37+AM70*Population!$P$38+AN70*Population!$P$39+AO70*Population!$P$40+AP70*Population!$P$41+AQ70*Population!$P$42+AR70*Population!$P$43+AS70*Population!$P$44</f>
        <v>4.5758002825069282</v>
      </c>
      <c r="L70" s="12">
        <f t="shared" si="35"/>
        <v>6.0927786251674401E-2</v>
      </c>
      <c r="M70" s="12">
        <f t="shared" si="36"/>
        <v>11.409137184267669</v>
      </c>
      <c r="N70" s="12">
        <f t="shared" si="29"/>
        <v>0.26176626123744051</v>
      </c>
      <c r="O70" s="12">
        <f t="shared" si="37"/>
        <v>710.64002513212245</v>
      </c>
      <c r="P70" s="12">
        <f t="shared" si="38"/>
        <v>207</v>
      </c>
      <c r="Q70" s="12">
        <f t="shared" si="39"/>
        <v>135.67998743393878</v>
      </c>
      <c r="R70" s="12">
        <f t="shared" si="40"/>
        <v>230.01266690389886</v>
      </c>
      <c r="S70" s="12">
        <f t="shared" si="41"/>
        <v>0.12293021300271685</v>
      </c>
      <c r="T70" s="12">
        <f t="shared" si="30"/>
        <v>0.87866663444599691</v>
      </c>
      <c r="U70" s="12">
        <f>Population!$B$13*MIN(Z69:AA69)</f>
        <v>11.838048679124284</v>
      </c>
      <c r="V70" s="12">
        <f>X69*Population!$B$14</f>
        <v>2.0533254554196114</v>
      </c>
      <c r="W70" s="12">
        <f>AO69*T69*Population!$B$12</f>
        <v>9.3256450263678108</v>
      </c>
      <c r="X70" s="12">
        <f t="shared" si="17"/>
        <v>342.67998743393878</v>
      </c>
      <c r="Y70" s="12">
        <f>IF(B69&lt;Vehicle!$B$1*0.75,Vehicle!$B$1*0.01,0)</f>
        <v>0</v>
      </c>
      <c r="Z70" s="14">
        <f t="shared" si="42"/>
        <v>48.490764160917252</v>
      </c>
      <c r="AA70" s="13">
        <f t="shared" si="43"/>
        <v>47.374625647844368</v>
      </c>
      <c r="AB70" s="18">
        <f>(G70+Population!$B$11*AB69)*Population!N$29</f>
        <v>165.85751494125151</v>
      </c>
      <c r="AC70" s="18">
        <f>AB69*Population!$B$12*Population!$N$29+AC69*Population!$B$11*Population!$N$30+Y70*Population!$L$30</f>
        <v>165.53409190289449</v>
      </c>
      <c r="AD70" s="14">
        <f>(AC69*Population!$B$12*0.5*Population!$N$30)+(AD69*Population!$B$11*Population!N$31)+Y70*Population!$L$31</f>
        <v>82.205673878036379</v>
      </c>
      <c r="AE70" s="13">
        <f>(AC69*Population!$B$12*0.5*Population!$N$30)+(AE69*Population!$B$11*Population!N$31)+Y70*Population!$L$32</f>
        <v>82.205673878036379</v>
      </c>
      <c r="AF70" s="14">
        <f>(AD69*Population!$B$12*Population!N$31)+(AF69*Population!$B$11*Population!N$33)+Y70*Population!$L$33</f>
        <v>81.44277829573295</v>
      </c>
      <c r="AG70" s="13">
        <f>(AE69*Population!$B$12*Population!N$31)+(AG69*Population!$B$11*Population!N$33)+Y70*Population!$L$34</f>
        <v>81.441727493812834</v>
      </c>
      <c r="AH70" s="14">
        <f>(AF69*Population!$B$12*Population!N$33)+(AH69*Population!$B$11*Population!N$35)+Y70*Population!$L$35</f>
        <v>79.978035235871815</v>
      </c>
      <c r="AI70" s="13">
        <f>(AG69*Population!$B$12*Population!N$33)+(AI69*Population!$B$11*Population!N$35)+Y70*Population!$L$36</f>
        <v>79.965950801992193</v>
      </c>
      <c r="AJ70" s="14">
        <f>(AH69*Population!$B$12*Population!N$35)+(AJ69*Population!$B$11*Population!N$37)+Y70*Population!$L$37</f>
        <v>78.212664735966328</v>
      </c>
      <c r="AK70" s="13">
        <f>(AI69*Population!$B$12*Population!N$35)+(AK69*Population!$B$11*Population!N$37)+Y70*Population!$L$38</f>
        <v>78.142605175865967</v>
      </c>
      <c r="AL70" s="14">
        <f>(AJ69*Population!$B$12*Population!N$37)+(AL69*Population!$B$11*Population!N$39)+Y70*Population!$L$39</f>
        <v>76.450063541879942</v>
      </c>
      <c r="AM70" s="13">
        <f>(AK69*Population!$B$12*Population!N$37)+(AM69*Population!$B$11*Population!N$39)+Y70*Population!$L$40</f>
        <v>76.181396900219539</v>
      </c>
      <c r="AN70" s="14">
        <f>(AL69*Population!$B$12*Population!N$39)+(AN69*Population!$B$11*Population!N$41)+Y70*Population!$L$41</f>
        <v>75.08720978540498</v>
      </c>
      <c r="AO70" s="13">
        <f>(AM69*Population!$B$12*Population!N$39)+(AO69*Population!$B$11*Population!N$41)+Y70*Population!$L$42</f>
        <v>74.322932709892598</v>
      </c>
      <c r="AP70" s="15">
        <f>(AN69+AO69)*Population!$B$12*Population!$N$41+AP69*Population!$B$11*Population!$N$43</f>
        <v>142.61288653879518</v>
      </c>
      <c r="AQ70" s="5">
        <f>AP69*Population!N$43*Population!$B$12+AQ69*Population!$B$11*Population!N$44</f>
        <v>135.97688214632083</v>
      </c>
      <c r="AR70" s="5">
        <f>AQ69*Population!N$44*Population!$B$12+AR69*Population!$B$11*Population!N$45</f>
        <v>103.70409926634353</v>
      </c>
      <c r="AS70" s="5">
        <f>(AR69*Population!$B$12+AS69)*Population!N$46</f>
        <v>232.46103278813757</v>
      </c>
    </row>
    <row r="71" spans="1:45">
      <c r="A71">
        <f>A70+Population!$B$2</f>
        <v>68</v>
      </c>
      <c r="B71" s="4">
        <f t="shared" si="32"/>
        <v>1894</v>
      </c>
      <c r="C71" s="54">
        <f t="shared" si="31"/>
        <v>758</v>
      </c>
      <c r="D71" s="12">
        <f>AE70*Population!$Q$32*Population!$C$2+AG70*Population!$Q$34*Population!$C$2+AI70*Population!$Q$36*Population!$C$2+AK70*Population!$Q$38*Population!$C$2+AM70*Population!$Q$40*Population!$C$2+AO69*Population!$Q$42*Population!$C$2</f>
        <v>26.428033193337527</v>
      </c>
      <c r="E71" s="12">
        <f>IF(B70&gt;Population!$B$6*Population!$B$15,Population!$B$8,IF(Population!$J$6=1,D71,Population!$B$8*Population!$B$6*0.9/B70))</f>
        <v>23.761836638153017</v>
      </c>
      <c r="F71" s="12">
        <f>IF(B70&gt;Population!$B$6*0.75,Population!$B$8,E71)</f>
        <v>23.761836638153017</v>
      </c>
      <c r="G71" s="15">
        <f>IF(Population!$J$6=1,IF(E71&gt;H70,H70,E71),IF(E71&gt;X70,X70,E71))</f>
        <v>23.761836638153017</v>
      </c>
      <c r="H71" s="15">
        <f t="shared" si="33"/>
        <v>390</v>
      </c>
      <c r="I71" s="15">
        <f t="shared" si="34"/>
        <v>495</v>
      </c>
      <c r="J71" s="12">
        <f t="shared" si="28"/>
        <v>1.2692307692307692</v>
      </c>
      <c r="K71" s="12">
        <f>AB71*Population!$P$29+AC71*Population!$P$30+AD71*Population!$P$31+AE71*Population!$P$32+AF71*Population!$P$33+AG71*Population!$P$34+AH71*Population!$P$35+AI71*Population!$P$36+AJ71*Population!$P$37+AK71*Population!$P$38+AL71*Population!$P$37+AM71*Population!$P$38+AN71*Population!$P$39+AO71*Population!$P$40+AP71*Population!$P$41+AQ71*Population!$P$42+AR71*Population!$P$43+AS71*Population!$P$44</f>
        <v>4.5940168158309866</v>
      </c>
      <c r="L71" s="12">
        <f t="shared" si="35"/>
        <v>6.0927786251674401E-2</v>
      </c>
      <c r="M71" s="12">
        <f t="shared" si="36"/>
        <v>11.418871644845812</v>
      </c>
      <c r="N71" s="12">
        <f t="shared" si="29"/>
        <v>0.26135163674762407</v>
      </c>
      <c r="O71" s="12">
        <f t="shared" si="37"/>
        <v>712.72346677065252</v>
      </c>
      <c r="P71" s="12">
        <f t="shared" si="38"/>
        <v>207</v>
      </c>
      <c r="Q71" s="12">
        <f t="shared" si="39"/>
        <v>136.13826661467374</v>
      </c>
      <c r="R71" s="12">
        <f t="shared" si="40"/>
        <v>232.46103278813757</v>
      </c>
      <c r="S71" s="12">
        <f t="shared" si="41"/>
        <v>0.12396173465478758</v>
      </c>
      <c r="T71" s="12">
        <f t="shared" si="30"/>
        <v>0.87984170926839422</v>
      </c>
      <c r="U71" s="12">
        <f>Population!$B$13*MIN(Z70:AA70)</f>
        <v>11.843656411961092</v>
      </c>
      <c r="V71" s="12">
        <f>X70*Population!$B$14</f>
        <v>2.0560799246036328</v>
      </c>
      <c r="W71" s="12">
        <f>AO70*T70*Population!$B$12</f>
        <v>9.3292973066225162</v>
      </c>
      <c r="X71" s="12">
        <f t="shared" si="17"/>
        <v>343.13826661467374</v>
      </c>
      <c r="Y71" s="12">
        <f>IF(B70&lt;Vehicle!$B$1*0.75,Vehicle!$B$1*0.01,0)</f>
        <v>0</v>
      </c>
      <c r="Z71" s="14">
        <f t="shared" si="42"/>
        <v>48.386519379191213</v>
      </c>
      <c r="AA71" s="13">
        <f t="shared" si="43"/>
        <v>47.381495645013274</v>
      </c>
      <c r="AB71" s="18">
        <f>(G71+Population!$B$11*AB70)*Population!N$29</f>
        <v>165.85805515263684</v>
      </c>
      <c r="AC71" s="18">
        <f>AB70*Population!$B$12*Population!$N$29+AC70*Population!$B$11*Population!$N$30+Y71*Population!$L$30</f>
        <v>165.53875102621191</v>
      </c>
      <c r="AD71" s="14">
        <f>(AC70*Population!$B$12*0.5*Population!$N$30)+(AD70*Population!$B$11*Population!N$31)+Y71*Population!$L$31</f>
        <v>82.216059227298842</v>
      </c>
      <c r="AE71" s="13">
        <f>(AC70*Population!$B$12*0.5*Population!$N$30)+(AE70*Population!$B$11*Population!N$31)+Y71*Population!$L$32</f>
        <v>82.216059227298842</v>
      </c>
      <c r="AF71" s="14">
        <f>(AD70*Population!$B$12*Population!N$31)+(AF70*Population!$B$11*Population!N$33)+Y71*Population!$L$33</f>
        <v>81.474044548419045</v>
      </c>
      <c r="AG71" s="13">
        <f>(AE70*Population!$B$12*Population!N$31)+(AG70*Population!$B$11*Population!N$33)+Y71*Population!$L$34</f>
        <v>81.473144719413995</v>
      </c>
      <c r="AH71" s="14">
        <f>(AF70*Population!$B$12*Population!N$33)+(AH70*Population!$B$11*Population!N$35)+Y71*Population!$L$35</f>
        <v>80.04457539676153</v>
      </c>
      <c r="AI71" s="13">
        <f>(AG70*Population!$B$12*Population!N$33)+(AI70*Population!$B$11*Population!N$35)+Y71*Population!$L$36</f>
        <v>80.034087226603646</v>
      </c>
      <c r="AJ71" s="14">
        <f>(AH70*Population!$B$12*Population!N$35)+(AJ70*Population!$B$11*Population!N$37)+Y71*Population!$L$37</f>
        <v>78.314207989465515</v>
      </c>
      <c r="AK71" s="13">
        <f>(AI70*Population!$B$12*Population!N$35)+(AK70*Population!$B$11*Population!N$37)+Y71*Population!$L$38</f>
        <v>78.252549202860308</v>
      </c>
      <c r="AL71" s="14">
        <f>(AJ70*Population!$B$12*Population!N$37)+(AL70*Population!$B$11*Population!N$39)+Y71*Population!$L$39</f>
        <v>76.554596134135792</v>
      </c>
      <c r="AM71" s="13">
        <f>(AK70*Population!$B$12*Population!N$37)+(AM70*Population!$B$11*Population!N$39)+Y71*Population!$L$40</f>
        <v>76.314763297564994</v>
      </c>
      <c r="AN71" s="14">
        <f>(AL70*Population!$B$12*Population!N$39)+(AN70*Population!$B$11*Population!N$41)+Y71*Population!$L$41</f>
        <v>75.13736192508307</v>
      </c>
      <c r="AO71" s="13">
        <f>(AM70*Population!$B$12*Population!N$39)+(AO70*Population!$B$11*Population!N$41)+Y71*Population!$L$42</f>
        <v>74.445217813244113</v>
      </c>
      <c r="AP71" s="15">
        <f>(AN70+AO70)*Population!$B$12*Population!$N$41+AP70*Population!$B$11*Population!$N$43</f>
        <v>142.6567048128629</v>
      </c>
      <c r="AQ71" s="5">
        <f>AP70*Population!N$43*Population!$B$12+AQ70*Population!$B$11*Population!N$44</f>
        <v>135.93217737370699</v>
      </c>
      <c r="AR71" s="5">
        <f>AQ70*Population!N$44*Population!$B$12+AR70*Population!$B$11*Population!N$45</f>
        <v>103.68297982560102</v>
      </c>
      <c r="AS71" s="5">
        <f>(AR70*Population!$B$12+AS70)*Population!N$46</f>
        <v>234.78352543616768</v>
      </c>
    </row>
    <row r="72" spans="1:45">
      <c r="A72">
        <f>A71+Population!$B$2</f>
        <v>69</v>
      </c>
      <c r="B72" s="4">
        <f t="shared" si="32"/>
        <v>1897</v>
      </c>
      <c r="C72" s="54">
        <f t="shared" si="31"/>
        <v>758</v>
      </c>
      <c r="D72" s="12">
        <f>AE71*Population!$Q$32*Population!$C$2+AG71*Population!$Q$34*Population!$C$2+AI71*Population!$Q$36*Population!$C$2+AK71*Population!$Q$38*Population!$C$2+AM71*Population!$Q$40*Population!$C$2+AO70*Population!$Q$42*Population!$C$2</f>
        <v>26.453946636045117</v>
      </c>
      <c r="E72" s="12">
        <f>IF(B71&gt;Population!$B$6*Population!$B$15,Population!$B$8,IF(Population!$J$6=1,D72,Population!$B$8*Population!$B$6*0.9/B71))</f>
        <v>23.761836638153017</v>
      </c>
      <c r="F72" s="12">
        <f>IF(B71&gt;Population!$B$6*0.75,Population!$B$8,E72)</f>
        <v>23.761836638153017</v>
      </c>
      <c r="G72" s="15">
        <f>IF(Population!$J$6=1,IF(E72&gt;H71,H71,E72),IF(E72&gt;X71,X71,E72))</f>
        <v>23.761836638153017</v>
      </c>
      <c r="H72" s="15">
        <f t="shared" si="33"/>
        <v>390</v>
      </c>
      <c r="I72" s="15">
        <f t="shared" si="34"/>
        <v>495</v>
      </c>
      <c r="J72" s="12">
        <f t="shared" si="28"/>
        <v>1.2692307692307692</v>
      </c>
      <c r="K72" s="12">
        <f>AB72*Population!$P$29+AC72*Population!$P$30+AD72*Population!$P$31+AE72*Population!$P$32+AF72*Population!$P$33+AG72*Population!$P$34+AH72*Population!$P$35+AI72*Population!$P$36+AJ72*Population!$P$37+AK72*Population!$P$38+AL72*Population!$P$37+AM72*Population!$P$38+AN72*Population!$P$39+AO72*Population!$P$40+AP72*Population!$P$41+AQ72*Population!$P$42+AR72*Population!$P$43+AS72*Population!$P$44</f>
        <v>4.6113629014445694</v>
      </c>
      <c r="L72" s="12">
        <f t="shared" si="35"/>
        <v>6.0927786251674401E-2</v>
      </c>
      <c r="M72" s="12">
        <f t="shared" si="36"/>
        <v>11.427941476428346</v>
      </c>
      <c r="N72" s="12">
        <f t="shared" si="29"/>
        <v>0.26093832366895098</v>
      </c>
      <c r="O72" s="12">
        <f t="shared" si="37"/>
        <v>714.86466605828275</v>
      </c>
      <c r="P72" s="12">
        <f t="shared" si="38"/>
        <v>207</v>
      </c>
      <c r="Q72" s="12">
        <f t="shared" si="39"/>
        <v>136.56766697085862</v>
      </c>
      <c r="R72" s="12">
        <f t="shared" si="40"/>
        <v>234.78352543616768</v>
      </c>
      <c r="S72" s="12">
        <f t="shared" si="41"/>
        <v>0.12492663211105799</v>
      </c>
      <c r="T72" s="12">
        <f t="shared" si="30"/>
        <v>0.88094273582271443</v>
      </c>
      <c r="U72" s="12">
        <f>Population!$B$13*MIN(Z71:AA71)</f>
        <v>11.845373911253319</v>
      </c>
      <c r="V72" s="12">
        <f>X71*Population!$B$14</f>
        <v>2.0588295996880426</v>
      </c>
      <c r="W72" s="12">
        <f>AO71*T71*Population!$B$12</f>
        <v>9.3571439553803728</v>
      </c>
      <c r="X72" s="12">
        <f t="shared" si="17"/>
        <v>343.56766697085862</v>
      </c>
      <c r="Y72" s="12">
        <f>IF(B71&lt;Vehicle!$B$1*0.75,Vehicle!$B$1*0.01,0)</f>
        <v>0</v>
      </c>
      <c r="Z72" s="14">
        <f t="shared" si="42"/>
        <v>48.304835282500505</v>
      </c>
      <c r="AA72" s="13">
        <f t="shared" si="43"/>
        <v>47.400428208778123</v>
      </c>
      <c r="AB72" s="18">
        <f>(G72+Population!$B$11*AB71)*Population!N$29</f>
        <v>165.85851800297357</v>
      </c>
      <c r="AC72" s="18">
        <f>AB71*Population!$B$12*Population!$N$29+AC71*Population!$B$11*Population!$N$30+Y72*Population!$L$30</f>
        <v>165.54282080366156</v>
      </c>
      <c r="AD72" s="14">
        <f>(AC71*Population!$B$12*0.5*Population!$N$30)+(AD71*Population!$B$11*Population!N$31)+Y72*Population!$L$31</f>
        <v>82.225285191535264</v>
      </c>
      <c r="AE72" s="13">
        <f>(AC71*Population!$B$12*0.5*Population!$N$30)+(AE71*Population!$B$11*Population!N$31)+Y72*Population!$L$32</f>
        <v>82.225285191535264</v>
      </c>
      <c r="AF72" s="14">
        <f>(AD71*Population!$B$12*Population!N$31)+(AF71*Population!$B$11*Population!N$33)+Y72*Population!$L$33</f>
        <v>81.502300860948807</v>
      </c>
      <c r="AG72" s="13">
        <f>(AE71*Population!$B$12*Population!N$31)+(AG71*Population!$B$11*Population!N$33)+Y72*Population!$L$34</f>
        <v>81.501530313976232</v>
      </c>
      <c r="AH72" s="14">
        <f>(AF71*Population!$B$12*Population!N$33)+(AH71*Population!$B$11*Population!N$35)+Y72*Population!$L$35</f>
        <v>80.105962665137568</v>
      </c>
      <c r="AI72" s="13">
        <f>(AG71*Population!$B$12*Population!N$33)+(AI71*Population!$B$11*Population!N$35)+Y72*Population!$L$36</f>
        <v>80.096861641038259</v>
      </c>
      <c r="AJ72" s="14">
        <f>(AH71*Population!$B$12*Population!N$35)+(AJ71*Population!$B$11*Population!N$37)+Y72*Population!$L$37</f>
        <v>78.410565438964895</v>
      </c>
      <c r="AK72" s="13">
        <f>(AI71*Population!$B$12*Population!N$35)+(AK71*Population!$B$11*Population!N$37)+Y72*Population!$L$38</f>
        <v>78.356321089924791</v>
      </c>
      <c r="AL72" s="14">
        <f>(AJ71*Population!$B$12*Population!N$37)+(AL71*Population!$B$11*Population!N$39)+Y72*Population!$L$39</f>
        <v>76.658501795353601</v>
      </c>
      <c r="AM72" s="13">
        <f>(AK71*Population!$B$12*Population!N$37)+(AM71*Population!$B$11*Population!N$39)+Y72*Population!$L$40</f>
        <v>76.444534002941822</v>
      </c>
      <c r="AN72" s="14">
        <f>(AL71*Population!$B$12*Population!N$39)+(AN71*Population!$B$11*Population!N$41)+Y72*Population!$L$41</f>
        <v>75.195171492954245</v>
      </c>
      <c r="AO72" s="13">
        <f>(AM71*Population!$B$12*Population!N$39)+(AO71*Population!$B$11*Population!N$41)+Y72*Population!$L$42</f>
        <v>74.568848131755686</v>
      </c>
      <c r="AP72" s="15">
        <f>(AN71+AO71)*Population!$B$12*Population!$N$41+AP71*Population!$B$11*Population!$N$43</f>
        <v>142.71857762900677</v>
      </c>
      <c r="AQ72" s="5">
        <f>AP71*Population!N$43*Population!$B$12+AQ71*Population!$B$11*Population!N$44</f>
        <v>135.90035117563647</v>
      </c>
      <c r="AR72" s="5">
        <f>AQ71*Population!N$44*Population!$B$12+AR71*Population!$B$11*Population!N$45</f>
        <v>103.65945188523108</v>
      </c>
      <c r="AS72" s="5">
        <f>(AR71*Population!$B$12+AS71)*Population!N$46</f>
        <v>236.98582111467701</v>
      </c>
    </row>
    <row r="73" spans="1:45">
      <c r="A73">
        <f>A72+Population!$B$2</f>
        <v>70</v>
      </c>
      <c r="B73" s="4">
        <f t="shared" si="32"/>
        <v>1900</v>
      </c>
      <c r="C73" s="54">
        <f t="shared" si="31"/>
        <v>759</v>
      </c>
      <c r="D73" s="12">
        <f>AE72*Population!$Q$32*Population!$C$2+AG72*Population!$Q$34*Population!$C$2+AI72*Population!$Q$36*Population!$C$2+AK72*Population!$Q$38*Population!$C$2+AM72*Population!$Q$40*Population!$C$2+AO71*Population!$Q$42*Population!$C$2</f>
        <v>26.478520972922475</v>
      </c>
      <c r="E73" s="12">
        <f>IF(B72&gt;Population!$B$6*Population!$B$15,Population!$B$8,IF(Population!$J$6=1,D73,Population!$B$8*Population!$B$6*0.9/B72))</f>
        <v>23.761836638153017</v>
      </c>
      <c r="F73" s="12">
        <f>IF(B72&gt;Population!$B$6*0.75,Population!$B$8,E73)</f>
        <v>23.761836638153017</v>
      </c>
      <c r="G73" s="15">
        <f>IF(Population!$J$6=1,IF(E73&gt;H72,H72,E73),IF(E73&gt;X72,X72,E73))</f>
        <v>23.761836638153017</v>
      </c>
      <c r="H73" s="15">
        <f t="shared" si="33"/>
        <v>391</v>
      </c>
      <c r="I73" s="15">
        <f t="shared" si="34"/>
        <v>495</v>
      </c>
      <c r="J73" s="12">
        <f t="shared" si="28"/>
        <v>1.2659846547314577</v>
      </c>
      <c r="K73" s="12">
        <f>AB73*Population!$P$29+AC73*Population!$P$30+AD73*Population!$P$31+AE73*Population!$P$32+AF73*Population!$P$33+AG73*Population!$P$34+AH73*Population!$P$35+AI73*Population!$P$36+AJ73*Population!$P$37+AK73*Population!$P$38+AL73*Population!$P$37+AM73*Population!$P$38+AN73*Population!$P$39+AO73*Population!$P$40+AP73*Population!$P$41+AQ73*Population!$P$42+AR73*Population!$P$43+AS73*Population!$P$44</f>
        <v>4.6278919280474957</v>
      </c>
      <c r="L73" s="12">
        <f t="shared" si="35"/>
        <v>6.0771960711388788E-2</v>
      </c>
      <c r="M73" s="12">
        <f t="shared" si="36"/>
        <v>11.436378494834301</v>
      </c>
      <c r="N73" s="12">
        <f t="shared" si="29"/>
        <v>0.26052631578947366</v>
      </c>
      <c r="O73" s="12">
        <f t="shared" si="37"/>
        <v>717.05608826621187</v>
      </c>
      <c r="P73" s="12">
        <f t="shared" si="38"/>
        <v>207</v>
      </c>
      <c r="Q73" s="12">
        <f t="shared" si="39"/>
        <v>136.97195586689406</v>
      </c>
      <c r="R73" s="12">
        <f t="shared" si="40"/>
        <v>236.98582111467701</v>
      </c>
      <c r="S73" s="12">
        <f t="shared" si="41"/>
        <v>0.1258282449924612</v>
      </c>
      <c r="T73" s="12">
        <f t="shared" si="30"/>
        <v>0.87972367229384674</v>
      </c>
      <c r="U73" s="12">
        <f>Population!$B$13*MIN(Z72:AA72)</f>
        <v>11.850107052194531</v>
      </c>
      <c r="V73" s="12">
        <f>X72*Population!$B$14</f>
        <v>2.0614060018251519</v>
      </c>
      <c r="W73" s="12">
        <f>AO72*T72*Population!$B$12</f>
        <v>9.3844121543339085</v>
      </c>
      <c r="X73" s="12">
        <f t="shared" si="17"/>
        <v>343.97195586689406</v>
      </c>
      <c r="Y73" s="12">
        <f>IF(B72&lt;Vehicle!$B$1*0.75,Vehicle!$B$1*0.01,0)</f>
        <v>0</v>
      </c>
      <c r="Z73" s="14">
        <f t="shared" si="42"/>
        <v>48.24069644007966</v>
      </c>
      <c r="AA73" s="13">
        <f t="shared" si="43"/>
        <v>47.42732805715508</v>
      </c>
      <c r="AB73" s="18">
        <f>(G73+Population!$B$11*AB72)*Population!N$29</f>
        <v>165.85891457076167</v>
      </c>
      <c r="AC73" s="18">
        <f>AB72*Population!$B$12*Population!$N$29+AC72*Population!$B$11*Population!$N$30+Y73*Population!$L$30</f>
        <v>165.54637449407841</v>
      </c>
      <c r="AD73" s="14">
        <f>(AC72*Population!$B$12*0.5*Population!$N$30)+(AD72*Population!$B$11*Population!N$31)+Y73*Population!$L$31</f>
        <v>82.2334762575681</v>
      </c>
      <c r="AE73" s="13">
        <f>(AC72*Population!$B$12*0.5*Population!$N$30)+(AE72*Population!$B$11*Population!N$31)+Y73*Population!$L$32</f>
        <v>82.2334762575681</v>
      </c>
      <c r="AF73" s="14">
        <f>(AD72*Population!$B$12*Population!N$31)+(AF72*Population!$B$11*Population!N$33)+Y73*Population!$L$33</f>
        <v>81.52781421487397</v>
      </c>
      <c r="AG73" s="13">
        <f>(AE72*Population!$B$12*Population!N$31)+(AG72*Population!$B$11*Population!N$33)+Y73*Population!$L$34</f>
        <v>81.527154375467134</v>
      </c>
      <c r="AH73" s="14">
        <f>(AF72*Population!$B$12*Population!N$33)+(AH72*Population!$B$11*Population!N$35)+Y73*Population!$L$35</f>
        <v>80.162512067021623</v>
      </c>
      <c r="AI73" s="13">
        <f>(AG72*Population!$B$12*Population!N$33)+(AI72*Population!$B$11*Population!N$35)+Y73*Population!$L$36</f>
        <v>80.154616193673121</v>
      </c>
      <c r="AJ73" s="14">
        <f>(AH72*Population!$B$12*Population!N$35)+(AJ72*Population!$B$11*Population!N$37)+Y73*Population!$L$37</f>
        <v>78.501751733821848</v>
      </c>
      <c r="AK73" s="13">
        <f>(AI72*Population!$B$12*Population!N$35)+(AK72*Population!$B$11*Population!N$37)+Y73*Population!$L$38</f>
        <v>78.454048198182903</v>
      </c>
      <c r="AL73" s="14">
        <f>(AJ72*Population!$B$12*Population!N$37)+(AL72*Population!$B$11*Population!N$39)+Y73*Population!$L$39</f>
        <v>76.76113171210875</v>
      </c>
      <c r="AM73" s="13">
        <f>(AK72*Population!$B$12*Population!N$37)+(AM72*Population!$B$11*Population!N$39)+Y73*Population!$L$40</f>
        <v>76.570348562767037</v>
      </c>
      <c r="AN73" s="14">
        <f>(AL72*Population!$B$12*Population!N$39)+(AN72*Population!$B$11*Population!N$41)+Y73*Population!$L$41</f>
        <v>75.259442579147589</v>
      </c>
      <c r="AO73" s="13">
        <f>(AM72*Population!$B$12*Population!N$39)+(AO72*Population!$B$11*Population!N$41)+Y73*Population!$L$42</f>
        <v>74.693116593958919</v>
      </c>
      <c r="AP73" s="15">
        <f>(AN72+AO72)*Population!$B$12*Population!$N$41+AP72*Population!$B$11*Population!$N$43</f>
        <v>142.79709719345848</v>
      </c>
      <c r="AQ73" s="5">
        <f>AP72*Population!N$43*Population!$B$12+AQ72*Population!$B$11*Population!N$44</f>
        <v>135.8820442455536</v>
      </c>
      <c r="AR73" s="5">
        <f>AQ72*Population!N$44*Population!$B$12+AR72*Population!$B$11*Population!N$45</f>
        <v>103.63579026936407</v>
      </c>
      <c r="AS73" s="5">
        <f>(AR72*Population!$B$12+AS72)*Population!N$46</f>
        <v>239.07366548567626</v>
      </c>
    </row>
    <row r="74" spans="1:45">
      <c r="A74">
        <f>A73+Population!$B$2</f>
        <v>71</v>
      </c>
      <c r="B74" s="4">
        <f t="shared" si="32"/>
        <v>1903</v>
      </c>
      <c r="C74" s="54">
        <f t="shared" si="31"/>
        <v>760</v>
      </c>
      <c r="D74" s="12">
        <f>AE73*Population!$Q$32*Population!$C$2+AG73*Population!$Q$34*Population!$C$2+AI73*Population!$Q$36*Population!$C$2+AK73*Population!$Q$38*Population!$C$2+AM73*Population!$Q$40*Population!$C$2+AO72*Population!$Q$42*Population!$C$2</f>
        <v>26.501790470756415</v>
      </c>
      <c r="E74" s="12">
        <f>IF(B73&gt;Population!$B$6*Population!$B$15,Population!$B$8,IF(Population!$J$6=1,D74,Population!$B$8*Population!$B$6*0.9/B73))</f>
        <v>23.761836638153017</v>
      </c>
      <c r="F74" s="12">
        <f>IF(B73&gt;Population!$B$6*0.75,Population!$B$8,E74)</f>
        <v>23.761836638153017</v>
      </c>
      <c r="G74" s="15">
        <f>IF(Population!$J$6=1,IF(E74&gt;H73,H73,E74),IF(E74&gt;X73,X73,E74))</f>
        <v>23.761836638153017</v>
      </c>
      <c r="H74" s="15">
        <f t="shared" si="33"/>
        <v>391</v>
      </c>
      <c r="I74" s="15">
        <f t="shared" si="34"/>
        <v>495</v>
      </c>
      <c r="J74" s="12">
        <f t="shared" si="28"/>
        <v>1.2659846547314577</v>
      </c>
      <c r="K74" s="12">
        <f>AB74*Population!$P$29+AC74*Population!$P$30+AD74*Population!$P$31+AE74*Population!$P$32+AF74*Population!$P$33+AG74*Population!$P$34+AH74*Population!$P$35+AI74*Population!$P$36+AJ74*Population!$P$37+AK74*Population!$P$38+AL74*Population!$P$37+AM74*Population!$P$38+AN74*Population!$P$39+AO74*Population!$P$40+AP74*Population!$P$41+AQ74*Population!$P$42+AR74*Population!$P$43+AS74*Population!$P$44</f>
        <v>4.6436549301836134</v>
      </c>
      <c r="L74" s="12">
        <f t="shared" si="35"/>
        <v>6.0771960711388788E-2</v>
      </c>
      <c r="M74" s="12">
        <f t="shared" si="36"/>
        <v>11.444214831102592</v>
      </c>
      <c r="N74" s="12">
        <f t="shared" si="29"/>
        <v>0.26011560693641617</v>
      </c>
      <c r="O74" s="12">
        <f t="shared" si="37"/>
        <v>719.24417422949705</v>
      </c>
      <c r="P74" s="12">
        <f t="shared" si="38"/>
        <v>207</v>
      </c>
      <c r="Q74" s="12">
        <f t="shared" si="39"/>
        <v>137.37791288525148</v>
      </c>
      <c r="R74" s="12">
        <f t="shared" si="40"/>
        <v>239.07366548567626</v>
      </c>
      <c r="S74" s="12">
        <f t="shared" si="41"/>
        <v>0.1266699014700349</v>
      </c>
      <c r="T74" s="12">
        <f t="shared" si="30"/>
        <v>0.88076192553772759</v>
      </c>
      <c r="U74" s="12">
        <f>Population!$B$13*MIN(Z73:AA73)</f>
        <v>11.85683201428877</v>
      </c>
      <c r="V74" s="12">
        <f>X73*Population!$B$14</f>
        <v>2.0638317352013642</v>
      </c>
      <c r="W74" s="12">
        <f>AO73*T73*Population!$B$12</f>
        <v>9.3870432607299996</v>
      </c>
      <c r="X74" s="12">
        <f t="shared" si="17"/>
        <v>344.37791288525148</v>
      </c>
      <c r="Y74" s="12">
        <f>IF(B73&lt;Vehicle!$B$1*0.75,Vehicle!$B$1*0.01,0)</f>
        <v>0</v>
      </c>
      <c r="Z74" s="14">
        <f t="shared" si="42"/>
        <v>48.166266140681387</v>
      </c>
      <c r="AA74" s="13">
        <f t="shared" si="43"/>
        <v>47.435207164029691</v>
      </c>
      <c r="AB74" s="18">
        <f>(G74+Population!$B$11*AB73)*Population!N$29</f>
        <v>165.85925434800302</v>
      </c>
      <c r="AC74" s="18">
        <f>AB73*Population!$B$12*Population!$N$29+AC73*Population!$B$11*Population!$N$30+Y74*Population!$L$30</f>
        <v>165.54947645862131</v>
      </c>
      <c r="AD74" s="14">
        <f>(AC73*Population!$B$12*0.5*Population!$N$30)+(AD73*Population!$B$11*Population!N$31)+Y74*Population!$L$31</f>
        <v>82.240744258296644</v>
      </c>
      <c r="AE74" s="13">
        <f>(AC73*Population!$B$12*0.5*Population!$N$30)+(AE73*Population!$B$11*Population!N$31)+Y74*Population!$L$32</f>
        <v>82.240744258296644</v>
      </c>
      <c r="AF74" s="14">
        <f>(AD73*Population!$B$12*Population!N$31)+(AF73*Population!$B$11*Population!N$33)+Y74*Population!$L$33</f>
        <v>81.550831000322546</v>
      </c>
      <c r="AG74" s="13">
        <f>(AE73*Population!$B$12*Population!N$31)+(AG73*Population!$B$11*Population!N$33)+Y74*Population!$L$34</f>
        <v>81.550265962682658</v>
      </c>
      <c r="AH74" s="14">
        <f>(AF73*Population!$B$12*Population!N$33)+(AH73*Population!$B$11*Population!N$35)+Y74*Population!$L$35</f>
        <v>80.214531210149261</v>
      </c>
      <c r="AI74" s="13">
        <f>(AG73*Population!$B$12*Population!N$33)+(AI73*Population!$B$11*Population!N$35)+Y74*Population!$L$36</f>
        <v>80.207682140119275</v>
      </c>
      <c r="AJ74" s="14">
        <f>(AH73*Population!$B$12*Population!N$35)+(AJ73*Population!$B$11*Population!N$37)+Y74*Population!$L$37</f>
        <v>78.587824323830048</v>
      </c>
      <c r="AK74" s="13">
        <f>(AI73*Population!$B$12*Population!N$35)+(AK73*Population!$B$11*Population!N$37)+Y74*Population!$L$38</f>
        <v>78.545888269205079</v>
      </c>
      <c r="AL74" s="14">
        <f>(AJ73*Population!$B$12*Population!N$37)+(AL73*Population!$B$11*Population!N$39)+Y74*Population!$L$39</f>
        <v>76.861932915117421</v>
      </c>
      <c r="AM74" s="13">
        <f>(AK73*Population!$B$12*Population!N$37)+(AM73*Population!$B$11*Population!N$39)+Y74*Population!$L$40</f>
        <v>76.691916769543084</v>
      </c>
      <c r="AN74" s="14">
        <f>(AL73*Population!$B$12*Population!N$39)+(AN73*Population!$B$11*Population!N$41)+Y74*Population!$L$41</f>
        <v>75.3290595765136</v>
      </c>
      <c r="AO74" s="13">
        <f>(AM73*Population!$B$12*Population!N$39)+(AO73*Population!$B$11*Population!N$41)+Y74*Population!$L$42</f>
        <v>74.817366907731085</v>
      </c>
      <c r="AP74" s="15">
        <f>(AN73+AO73)*Population!$B$12*Population!$N$41+AP73*Population!$B$11*Population!$N$43</f>
        <v>142.89079424176137</v>
      </c>
      <c r="AQ74" s="5">
        <f>AP73*Population!N$43*Population!$B$12+AQ73*Population!$B$11*Population!N$44</f>
        <v>135.8776021124923</v>
      </c>
      <c r="AR74" s="5">
        <f>AQ73*Population!N$44*Population!$B$12+AR73*Population!$B$11*Population!N$45</f>
        <v>103.61393718492972</v>
      </c>
      <c r="AS74" s="5">
        <f>(AR73*Population!$B$12+AS73)*Population!N$46</f>
        <v>241.05282249747643</v>
      </c>
    </row>
    <row r="75" spans="1:45">
      <c r="A75">
        <f>A74+Population!$B$2</f>
        <v>72</v>
      </c>
      <c r="B75" s="4">
        <f t="shared" si="32"/>
        <v>1906</v>
      </c>
      <c r="C75" s="54">
        <f t="shared" si="31"/>
        <v>761</v>
      </c>
      <c r="D75" s="12">
        <f>AE74*Population!$Q$32*Population!$C$2+AG74*Population!$Q$34*Population!$C$2+AI74*Population!$Q$36*Population!$C$2+AK74*Population!$Q$38*Population!$C$2+AM74*Population!$Q$40*Population!$C$2+AO73*Population!$Q$42*Population!$C$2</f>
        <v>26.523792499377734</v>
      </c>
      <c r="E75" s="12">
        <f>IF(B74&gt;Population!$B$6*Population!$B$15,Population!$B$8,IF(Population!$J$6=1,D75,Population!$B$8*Population!$B$6*0.9/B74))</f>
        <v>23.761836638153017</v>
      </c>
      <c r="F75" s="12">
        <f>IF(B74&gt;Population!$B$6*0.75,Population!$B$8,E75)</f>
        <v>23.761836638153017</v>
      </c>
      <c r="G75" s="15">
        <f>IF(Population!$J$6=1,IF(E75&gt;H74,H74,E75),IF(E75&gt;X74,X74,E75))</f>
        <v>23.761836638153017</v>
      </c>
      <c r="H75" s="15">
        <f t="shared" si="33"/>
        <v>392</v>
      </c>
      <c r="I75" s="15">
        <f t="shared" si="34"/>
        <v>495</v>
      </c>
      <c r="J75" s="12">
        <f t="shared" si="28"/>
        <v>1.2627551020408163</v>
      </c>
      <c r="K75" s="12">
        <f>AB75*Population!$P$29+AC75*Population!$P$30+AD75*Population!$P$31+AE75*Population!$P$32+AF75*Population!$P$33+AG75*Population!$P$34+AH75*Population!$P$35+AI75*Population!$P$36+AJ75*Population!$P$37+AK75*Population!$P$38+AL75*Population!$P$37+AM75*Population!$P$38+AN75*Population!$P$39+AO75*Population!$P$40+AP75*Population!$P$41+AQ75*Population!$P$42+AR75*Population!$P$43+AS75*Population!$P$44</f>
        <v>4.6587004773520464</v>
      </c>
      <c r="L75" s="12">
        <f t="shared" si="35"/>
        <v>6.0616930199369944E-2</v>
      </c>
      <c r="M75" s="12">
        <f t="shared" si="36"/>
        <v>11.4514825954926</v>
      </c>
      <c r="N75" s="12">
        <f t="shared" si="29"/>
        <v>0.25970619097586567</v>
      </c>
      <c r="O75" s="12">
        <f t="shared" si="37"/>
        <v>721.48661649962401</v>
      </c>
      <c r="P75" s="12">
        <f t="shared" si="38"/>
        <v>207</v>
      </c>
      <c r="Q75" s="12">
        <f t="shared" si="39"/>
        <v>137.756691750188</v>
      </c>
      <c r="R75" s="12">
        <f t="shared" si="40"/>
        <v>241.05282249747643</v>
      </c>
      <c r="S75" s="12">
        <f t="shared" si="41"/>
        <v>0.12745489419972078</v>
      </c>
      <c r="T75" s="12">
        <f t="shared" si="30"/>
        <v>0.87948135650558168</v>
      </c>
      <c r="U75" s="12">
        <f>Population!$B$13*MIN(Z74:AA74)</f>
        <v>11.858801791007423</v>
      </c>
      <c r="V75" s="12">
        <f>X74*Population!$B$14</f>
        <v>2.0662674773115088</v>
      </c>
      <c r="W75" s="12">
        <f>AO74*T74*Population!$B$12</f>
        <v>9.4137554487594119</v>
      </c>
      <c r="X75" s="12">
        <f t="shared" si="17"/>
        <v>344.756691750188</v>
      </c>
      <c r="Y75" s="12">
        <f>IF(B74&lt;Vehicle!$B$1*0.75,Vehicle!$B$1*0.01,0)</f>
        <v>0</v>
      </c>
      <c r="Z75" s="14">
        <f t="shared" si="42"/>
        <v>48.109510826576923</v>
      </c>
      <c r="AA75" s="13">
        <f t="shared" si="43"/>
        <v>47.452813539463079</v>
      </c>
      <c r="AB75" s="18">
        <f>(G75+Population!$B$11*AB74)*Population!N$29</f>
        <v>165.859545467396</v>
      </c>
      <c r="AC75" s="18">
        <f>AB74*Population!$B$12*Population!$N$29+AC74*Population!$B$11*Population!$N$30+Y75*Population!$L$30</f>
        <v>165.55218320703523</v>
      </c>
      <c r="AD75" s="14">
        <f>(AC74*Population!$B$12*0.5*Population!$N$30)+(AD74*Population!$B$11*Population!N$31)+Y75*Population!$L$31</f>
        <v>82.247189555331431</v>
      </c>
      <c r="AE75" s="13">
        <f>(AC74*Population!$B$12*0.5*Population!$N$30)+(AE74*Population!$B$11*Population!N$31)+Y75*Population!$L$32</f>
        <v>82.247189555331431</v>
      </c>
      <c r="AF75" s="14">
        <f>(AD74*Population!$B$12*Population!N$31)+(AF74*Population!$B$11*Population!N$33)+Y75*Population!$L$33</f>
        <v>81.571578168470566</v>
      </c>
      <c r="AG75" s="13">
        <f>(AE74*Population!$B$12*Population!N$31)+(AG74*Population!$B$11*Population!N$33)+Y75*Population!$L$34</f>
        <v>81.571094312048544</v>
      </c>
      <c r="AH75" s="14">
        <f>(AF74*Population!$B$12*Population!N$33)+(AH74*Population!$B$11*Population!N$35)+Y75*Population!$L$35</f>
        <v>80.262318417104836</v>
      </c>
      <c r="AI75" s="13">
        <f>(AG74*Population!$B$12*Population!N$33)+(AI74*Population!$B$11*Population!N$35)+Y75*Population!$L$36</f>
        <v>80.256378414525955</v>
      </c>
      <c r="AJ75" s="14">
        <f>(AH74*Population!$B$12*Population!N$35)+(AJ74*Population!$B$11*Population!N$37)+Y75*Population!$L$37</f>
        <v>78.668876216713642</v>
      </c>
      <c r="AK75" s="13">
        <f>(AI74*Population!$B$12*Population!N$35)+(AK74*Population!$B$11*Population!N$37)+Y75*Population!$L$38</f>
        <v>78.632023481825641</v>
      </c>
      <c r="AL75" s="14">
        <f>(AJ74*Population!$B$12*Population!N$37)+(AL74*Population!$B$11*Population!N$39)+Y75*Population!$L$39</f>
        <v>76.960440532092946</v>
      </c>
      <c r="AM75" s="13">
        <f>(AK74*Population!$B$12*Population!N$37)+(AM74*Population!$B$11*Population!N$39)+Y75*Population!$L$40</f>
        <v>76.809012842828793</v>
      </c>
      <c r="AN75" s="14">
        <f>(AL74*Population!$B$12*Population!N$39)+(AN74*Population!$B$11*Population!N$41)+Y75*Population!$L$41</f>
        <v>75.402989242382944</v>
      </c>
      <c r="AO75" s="13">
        <f>(AM74*Population!$B$12*Population!N$39)+(AO74*Population!$B$11*Population!N$41)+Y75*Population!$L$42</f>
        <v>74.940996238422144</v>
      </c>
      <c r="AP75" s="15">
        <f>(AN74+AO74)*Population!$B$12*Population!$N$41+AP74*Population!$B$11*Population!$N$43</f>
        <v>142.99816589234953</v>
      </c>
      <c r="AQ75" s="5">
        <f>AP74*Population!N$43*Population!$B$12+AQ74*Population!$B$11*Population!N$44</f>
        <v>135.88711042379558</v>
      </c>
      <c r="AR75" s="5">
        <f>AQ74*Population!N$44*Population!$B$12+AR74*Population!$B$11*Population!N$45</f>
        <v>103.59552228103703</v>
      </c>
      <c r="AS75" s="5">
        <f>(AR74*Population!$B$12+AS74)*Population!N$46</f>
        <v>242.92902834466778</v>
      </c>
    </row>
    <row r="76" spans="1:45">
      <c r="A76">
        <f>A75+Population!$B$2</f>
        <v>73</v>
      </c>
      <c r="B76" s="4">
        <f t="shared" si="32"/>
        <v>1909</v>
      </c>
      <c r="C76" s="54">
        <f t="shared" si="31"/>
        <v>762</v>
      </c>
      <c r="D76" s="12">
        <f>AE75*Population!$Q$32*Population!$C$2+AG75*Population!$Q$34*Population!$C$2+AI75*Population!$Q$36*Population!$C$2+AK75*Population!$Q$38*Population!$C$2+AM75*Population!$Q$40*Population!$C$2+AO74*Population!$Q$42*Population!$C$2</f>
        <v>26.544566953769429</v>
      </c>
      <c r="E76" s="12">
        <f>IF(B75&gt;Population!$B$6*Population!$B$15,Population!$B$8,IF(Population!$J$6=1,D76,Population!$B$8*Population!$B$6*0.9/B75))</f>
        <v>23.761836638153017</v>
      </c>
      <c r="F76" s="12">
        <f>IF(B75&gt;Population!$B$6*0.75,Population!$B$8,E76)</f>
        <v>23.761836638153017</v>
      </c>
      <c r="G76" s="15">
        <f>IF(Population!$J$6=1,IF(E76&gt;H75,H75,E76),IF(E76&gt;X75,X75,E76))</f>
        <v>23.761836638153017</v>
      </c>
      <c r="H76" s="15">
        <f t="shared" si="33"/>
        <v>392</v>
      </c>
      <c r="I76" s="15">
        <f t="shared" si="34"/>
        <v>495</v>
      </c>
      <c r="J76" s="12">
        <f t="shared" si="28"/>
        <v>1.2627551020408163</v>
      </c>
      <c r="K76" s="12">
        <f>AB76*Population!$P$29+AC76*Population!$P$30+AD76*Population!$P$31+AE76*Population!$P$32+AF76*Population!$P$33+AG76*Population!$P$34+AH76*Population!$P$35+AI76*Population!$P$36+AJ76*Population!$P$37+AK76*Population!$P$38+AL76*Population!$P$37+AM76*Population!$P$38+AN76*Population!$P$39+AO76*Population!$P$40+AP76*Population!$P$41+AQ76*Population!$P$42+AR76*Population!$P$43+AS76*Population!$P$44</f>
        <v>4.6730745989448099</v>
      </c>
      <c r="L76" s="12">
        <f t="shared" si="35"/>
        <v>6.0616930199369944E-2</v>
      </c>
      <c r="M76" s="12">
        <f t="shared" si="36"/>
        <v>11.458213594985015</v>
      </c>
      <c r="N76" s="12">
        <f t="shared" si="29"/>
        <v>0.25929806181246728</v>
      </c>
      <c r="O76" s="12">
        <f t="shared" si="37"/>
        <v>723.72849261079398</v>
      </c>
      <c r="P76" s="12">
        <f t="shared" si="38"/>
        <v>207</v>
      </c>
      <c r="Q76" s="12">
        <f t="shared" si="39"/>
        <v>138.13575369460301</v>
      </c>
      <c r="R76" s="12">
        <f t="shared" si="40"/>
        <v>242.92902834466778</v>
      </c>
      <c r="S76" s="12">
        <f t="shared" si="41"/>
        <v>0.12818645912776061</v>
      </c>
      <c r="T76" s="12">
        <f t="shared" si="30"/>
        <v>0.88044835126174237</v>
      </c>
      <c r="U76" s="12">
        <f>Population!$B$13*MIN(Z75:AA75)</f>
        <v>11.86320338486577</v>
      </c>
      <c r="V76" s="12">
        <f>X75*Population!$B$14</f>
        <v>2.068540150501128</v>
      </c>
      <c r="W76" s="12">
        <f>AO75*T75*Population!$B$12</f>
        <v>9.4156012899495991</v>
      </c>
      <c r="X76" s="12">
        <f t="shared" si="17"/>
        <v>345.13575369460301</v>
      </c>
      <c r="Y76" s="12">
        <f>IF(B75&lt;Vehicle!$B$1*0.75,Vehicle!$B$1*0.01,0)</f>
        <v>0</v>
      </c>
      <c r="Z76" s="14">
        <f t="shared" si="42"/>
        <v>48.04225298653887</v>
      </c>
      <c r="AA76" s="13">
        <f t="shared" si="43"/>
        <v>47.452688372811792</v>
      </c>
      <c r="AB76" s="18">
        <f>(G76+Population!$B$11*AB75)*Population!N$29</f>
        <v>165.85979489699471</v>
      </c>
      <c r="AC76" s="18">
        <f>AB75*Population!$B$12*Population!$N$29+AC75*Population!$B$11*Population!$N$30+Y76*Population!$L$30</f>
        <v>165.55454432668833</v>
      </c>
      <c r="AD76" s="14">
        <f>(AC75*Population!$B$12*0.5*Population!$N$30)+(AD75*Population!$B$11*Population!N$31)+Y76*Population!$L$31</f>
        <v>82.252902126431152</v>
      </c>
      <c r="AE76" s="13">
        <f>(AC75*Population!$B$12*0.5*Population!$N$30)+(AE75*Population!$B$11*Population!N$31)+Y76*Population!$L$32</f>
        <v>82.252902126431152</v>
      </c>
      <c r="AF76" s="14">
        <f>(AD75*Population!$B$12*Population!N$31)+(AF75*Population!$B$11*Population!N$33)+Y76*Population!$L$33</f>
        <v>81.590264387220202</v>
      </c>
      <c r="AG76" s="13">
        <f>(AE75*Population!$B$12*Population!N$31)+(AG75*Population!$B$11*Population!N$33)+Y76*Population!$L$34</f>
        <v>81.589850048385756</v>
      </c>
      <c r="AH76" s="14">
        <f>(AF75*Population!$B$12*Population!N$33)+(AH75*Population!$B$11*Population!N$35)+Y76*Population!$L$35</f>
        <v>80.30616129270571</v>
      </c>
      <c r="AI76" s="13">
        <f>(AG75*Population!$B$12*Population!N$33)+(AI75*Population!$B$11*Population!N$35)+Y76*Population!$L$36</f>
        <v>80.301010580998508</v>
      </c>
      <c r="AJ76" s="14">
        <f>(AH75*Population!$B$12*Population!N$35)+(AJ75*Population!$B$11*Population!N$37)+Y76*Population!$L$37</f>
        <v>78.745029516001338</v>
      </c>
      <c r="AK76" s="13">
        <f>(AI75*Population!$B$12*Population!N$35)+(AK75*Population!$B$11*Population!N$37)+Y76*Population!$L$38</f>
        <v>78.712655164059043</v>
      </c>
      <c r="AL76" s="14">
        <f>(AJ75*Population!$B$12*Population!N$37)+(AL75*Population!$B$11*Population!N$39)+Y76*Population!$L$39</f>
        <v>77.056270127429372</v>
      </c>
      <c r="AM76" s="13">
        <f>(AK75*Population!$B$12*Population!N$37)+(AM75*Population!$B$11*Population!N$39)+Y76*Population!$L$40</f>
        <v>76.921469603680549</v>
      </c>
      <c r="AN76" s="14">
        <f>(AL75*Population!$B$12*Population!N$39)+(AN75*Population!$B$11*Population!N$41)+Y76*Population!$L$41</f>
        <v>75.480281357785259</v>
      </c>
      <c r="AO76" s="13">
        <f>(AM75*Population!$B$12*Population!N$39)+(AO75*Population!$B$11*Population!N$41)+Y76*Population!$L$42</f>
        <v>75.063456670290975</v>
      </c>
      <c r="AP76" s="15">
        <f>(AN75+AO75)*Population!$B$12*Population!$N$41+AP75*Population!$B$11*Population!$N$43</f>
        <v>143.11770002378029</v>
      </c>
      <c r="AQ76" s="5">
        <f>AP75*Population!N$43*Population!$B$12+AQ75*Population!$B$11*Population!N$44</f>
        <v>135.91042891842406</v>
      </c>
      <c r="AR76" s="5">
        <f>AQ75*Population!N$44*Population!$B$12+AR75*Population!$B$11*Population!N$45</f>
        <v>103.58188397794534</v>
      </c>
      <c r="AS76" s="5">
        <f>(AR75*Population!$B$12+AS75)*Population!N$46</f>
        <v>244.707950474895</v>
      </c>
    </row>
    <row r="77" spans="1:45">
      <c r="A77">
        <f>A76+Population!$B$2</f>
        <v>74</v>
      </c>
      <c r="B77" s="4">
        <f t="shared" si="32"/>
        <v>1911</v>
      </c>
      <c r="C77" s="54">
        <f t="shared" si="31"/>
        <v>763</v>
      </c>
      <c r="D77" s="12">
        <f>AE76*Population!$Q$32*Population!$C$2+AG76*Population!$Q$34*Population!$C$2+AI76*Population!$Q$36*Population!$C$2+AK76*Population!$Q$38*Population!$C$2+AM76*Population!$Q$40*Population!$C$2+AO75*Population!$Q$42*Population!$C$2</f>
        <v>26.564155724761164</v>
      </c>
      <c r="E77" s="12">
        <f>IF(B76&gt;Population!$B$6*Population!$B$15,Population!$B$8,IF(Population!$J$6=1,D77,Population!$B$8*Population!$B$6*0.9/B76))</f>
        <v>23.761836638153017</v>
      </c>
      <c r="F77" s="12">
        <f>IF(B76&gt;Population!$B$6*0.75,Population!$B$8,E77)</f>
        <v>23.761836638153017</v>
      </c>
      <c r="G77" s="15">
        <f>IF(Population!$J$6=1,IF(E77&gt;H76,H76,E77),IF(E77&gt;X76,X76,E77))</f>
        <v>23.761836638153017</v>
      </c>
      <c r="H77" s="15">
        <f t="shared" si="33"/>
        <v>392</v>
      </c>
      <c r="I77" s="15">
        <f t="shared" si="34"/>
        <v>495</v>
      </c>
      <c r="J77" s="12">
        <f t="shared" si="28"/>
        <v>1.2627551020408163</v>
      </c>
      <c r="K77" s="12">
        <f>AB77*Population!$P$29+AC77*Population!$P$30+AD77*Population!$P$31+AE77*Population!$P$32+AF77*Population!$P$33+AG77*Population!$P$34+AH77*Population!$P$35+AI77*Population!$P$36+AJ77*Population!$P$37+AK77*Population!$P$38+AL77*Population!$P$37+AM77*Population!$P$38+AN77*Population!$P$39+AO77*Population!$P$40+AP77*Population!$P$41+AQ77*Population!$P$42+AR77*Population!$P$43+AS77*Population!$P$44</f>
        <v>4.6868207417636274</v>
      </c>
      <c r="L77" s="12">
        <f t="shared" si="35"/>
        <v>6.0616930199369944E-2</v>
      </c>
      <c r="M77" s="12">
        <f t="shared" si="36"/>
        <v>11.464439098660019</v>
      </c>
      <c r="N77" s="12">
        <f t="shared" si="29"/>
        <v>0.25902668759811615</v>
      </c>
      <c r="O77" s="12">
        <f t="shared" si="37"/>
        <v>725.02649080168476</v>
      </c>
      <c r="P77" s="12">
        <f t="shared" si="38"/>
        <v>207</v>
      </c>
      <c r="Q77" s="12">
        <f t="shared" si="39"/>
        <v>138.48675459915762</v>
      </c>
      <c r="R77" s="12">
        <f t="shared" si="40"/>
        <v>244.707950474895</v>
      </c>
      <c r="S77" s="12">
        <f t="shared" si="41"/>
        <v>0.12893519181563151</v>
      </c>
      <c r="T77" s="12">
        <f t="shared" si="30"/>
        <v>0.88134376173254492</v>
      </c>
      <c r="U77" s="12">
        <f>Population!$B$13*MIN(Z76:AA76)</f>
        <v>11.863172093202948</v>
      </c>
      <c r="V77" s="12">
        <f>X76*Population!$B$14</f>
        <v>2.070814522167618</v>
      </c>
      <c r="W77" s="12">
        <f>AO76*T76*Population!$B$12</f>
        <v>9.4413566664807043</v>
      </c>
      <c r="X77" s="12">
        <f t="shared" ref="X77:X103" si="44">X76+U77-W77-V77</f>
        <v>345.48675459915762</v>
      </c>
      <c r="Y77" s="12">
        <f>IF(B76&lt;Vehicle!$B$1*0.75,Vehicle!$B$1*0.01,0)</f>
        <v>0</v>
      </c>
      <c r="Z77" s="14">
        <f t="shared" si="42"/>
        <v>47.99227036526554</v>
      </c>
      <c r="AA77" s="13">
        <f t="shared" si="43"/>
        <v>47.463269369801765</v>
      </c>
      <c r="AB77" s="18">
        <f>(G77+Population!$B$11*AB76)*Population!N$29</f>
        <v>165.86000860699212</v>
      </c>
      <c r="AC77" s="18">
        <f>AB76*Population!$B$12*Population!$N$29+AC76*Population!$B$11*Population!$N$30+Y77*Population!$L$30</f>
        <v>165.55660330650795</v>
      </c>
      <c r="AD77" s="14">
        <f>(AC76*Population!$B$12*0.5*Population!$N$30)+(AD76*Population!$B$11*Population!N$31)+Y77*Population!$L$31</f>
        <v>82.257962563047926</v>
      </c>
      <c r="AE77" s="13">
        <f>(AC76*Population!$B$12*0.5*Population!$N$30)+(AE76*Population!$B$11*Population!N$31)+Y77*Population!$L$32</f>
        <v>82.257962563047926</v>
      </c>
      <c r="AF77" s="14">
        <f>(AD76*Population!$B$12*Population!N$31)+(AF76*Population!$B$11*Population!N$33)+Y77*Population!$L$33</f>
        <v>81.607081186037121</v>
      </c>
      <c r="AG77" s="13">
        <f>(AE76*Population!$B$12*Population!N$31)+(AG76*Population!$B$11*Population!N$33)+Y77*Population!$L$34</f>
        <v>81.606726376920378</v>
      </c>
      <c r="AH77" s="14">
        <f>(AF76*Population!$B$12*Population!N$33)+(AH76*Population!$B$11*Population!N$35)+Y77*Population!$L$35</f>
        <v>80.346335663343069</v>
      </c>
      <c r="AI77" s="13">
        <f>(AG76*Population!$B$12*Population!N$33)+(AI76*Population!$B$11*Population!N$35)+Y77*Population!$L$36</f>
        <v>80.341870109341087</v>
      </c>
      <c r="AJ77" s="14">
        <f>(AH76*Population!$B$12*Population!N$35)+(AJ76*Population!$B$11*Population!N$37)+Y77*Population!$L$37</f>
        <v>78.816429688429622</v>
      </c>
      <c r="AK77" s="13">
        <f>(AI76*Population!$B$12*Population!N$35)+(AK76*Population!$B$11*Population!N$37)+Y77*Population!$L$38</f>
        <v>78.787999119649612</v>
      </c>
      <c r="AL77" s="14">
        <f>(AJ76*Population!$B$12*Population!N$37)+(AL76*Population!$B$11*Population!N$39)+Y77*Population!$L$39</f>
        <v>77.149110227434136</v>
      </c>
      <c r="AM77" s="13">
        <f>(AK76*Population!$B$12*Population!N$37)+(AM76*Population!$B$11*Population!N$39)+Y77*Population!$L$40</f>
        <v>77.029172736913281</v>
      </c>
      <c r="AN77" s="14">
        <f>(AL76*Population!$B$12*Population!N$39)+(AN76*Population!$B$11*Population!N$41)+Y77*Population!$L$41</f>
        <v>75.560068199179227</v>
      </c>
      <c r="AO77" s="13">
        <f>(AM76*Population!$B$12*Population!N$39)+(AO76*Population!$B$11*Population!N$41)+Y77*Population!$L$42</f>
        <v>75.184255626135069</v>
      </c>
      <c r="AP77" s="15">
        <f>(AN76+AO76)*Population!$B$12*Population!$N$41+AP76*Population!$B$11*Population!$N$43</f>
        <v>143.2478963203871</v>
      </c>
      <c r="AQ77" s="5">
        <f>AP76*Population!N$43*Population!$B$12+AQ76*Population!$B$11*Population!N$44</f>
        <v>135.94722379302868</v>
      </c>
      <c r="AR77" s="5">
        <f>AQ76*Population!N$44*Population!$B$12+AR76*Population!$B$11*Population!N$45</f>
        <v>103.57409164357753</v>
      </c>
      <c r="AS77" s="5">
        <f>(AR76*Population!$B$12+AS76)*Population!N$46</f>
        <v>246.3951515596718</v>
      </c>
    </row>
    <row r="78" spans="1:45">
      <c r="A78">
        <f>A77+Population!$B$2</f>
        <v>75</v>
      </c>
      <c r="B78" s="4">
        <f t="shared" si="32"/>
        <v>1913</v>
      </c>
      <c r="C78" s="54">
        <f t="shared" si="31"/>
        <v>763</v>
      </c>
      <c r="D78" s="12">
        <f>AE77*Population!$Q$32*Population!$C$2+AG77*Population!$Q$34*Population!$C$2+AI77*Population!$Q$36*Population!$C$2+AK77*Population!$Q$38*Population!$C$2+AM77*Population!$Q$40*Population!$C$2+AO76*Population!$Q$42*Population!$C$2</f>
        <v>26.582602216885672</v>
      </c>
      <c r="E78" s="12">
        <f>IF(B77&gt;Population!$B$6*Population!$B$15,Population!$B$8,IF(Population!$J$6=1,D78,Population!$B$8*Population!$B$6*0.9/B77))</f>
        <v>23.761836638153017</v>
      </c>
      <c r="F78" s="12">
        <f>IF(B77&gt;Population!$B$6*0.75,Population!$B$8,E78)</f>
        <v>23.761836638153017</v>
      </c>
      <c r="G78" s="15">
        <f>IF(Population!$J$6=1,IF(E78&gt;H77,H77,E78),IF(E78&gt;X77,X77,E78))</f>
        <v>23.761836638153017</v>
      </c>
      <c r="H78" s="15">
        <f t="shared" si="33"/>
        <v>393</v>
      </c>
      <c r="I78" s="15">
        <f t="shared" si="34"/>
        <v>495</v>
      </c>
      <c r="J78" s="12">
        <f t="shared" si="28"/>
        <v>1.2595419847328244</v>
      </c>
      <c r="K78" s="12">
        <f>AB78*Population!$P$29+AC78*Population!$P$30+AD78*Population!$P$31+AE78*Population!$P$32+AF78*Population!$P$33+AG78*Population!$P$34+AH78*Population!$P$35+AI78*Population!$P$36+AJ78*Population!$P$37+AK78*Population!$P$38+AL78*Population!$P$37+AM78*Population!$P$38+AN78*Population!$P$39+AO78*Population!$P$40+AP78*Population!$P$41+AQ78*Population!$P$42+AR78*Population!$P$43+AS78*Population!$P$44</f>
        <v>4.6999797568267851</v>
      </c>
      <c r="L78" s="12">
        <f t="shared" si="35"/>
        <v>6.0462688646699791E-2</v>
      </c>
      <c r="M78" s="12">
        <f t="shared" si="36"/>
        <v>11.470189645686094</v>
      </c>
      <c r="N78" s="12">
        <f t="shared" si="29"/>
        <v>0.25875588081547307</v>
      </c>
      <c r="O78" s="12">
        <f t="shared" si="37"/>
        <v>726.37303279385924</v>
      </c>
      <c r="P78" s="12">
        <f t="shared" si="38"/>
        <v>207</v>
      </c>
      <c r="Q78" s="12">
        <f t="shared" si="39"/>
        <v>138.81348360307038</v>
      </c>
      <c r="R78" s="12">
        <f t="shared" si="40"/>
        <v>246.3951515596718</v>
      </c>
      <c r="S78" s="12">
        <f t="shared" si="41"/>
        <v>0.129637249499954</v>
      </c>
      <c r="T78" s="12">
        <f t="shared" si="30"/>
        <v>0.87993252825208745</v>
      </c>
      <c r="U78" s="12">
        <f>Population!$B$13*MIN(Z77:AA77)</f>
        <v>11.865817342450441</v>
      </c>
      <c r="V78" s="12">
        <f>X77*Population!$B$14</f>
        <v>2.0729205275949458</v>
      </c>
      <c r="W78" s="12">
        <f>AO77*T77*Population!$B$12</f>
        <v>9.4661678109427339</v>
      </c>
      <c r="X78" s="12">
        <f t="shared" si="44"/>
        <v>345.81348360307038</v>
      </c>
      <c r="Y78" s="12">
        <f>IF(B77&lt;Vehicle!$B$1*0.75,Vehicle!$B$1*0.01,0)</f>
        <v>0</v>
      </c>
      <c r="Z78" s="14">
        <f t="shared" si="42"/>
        <v>47.955343946140715</v>
      </c>
      <c r="AA78" s="13">
        <f t="shared" si="43"/>
        <v>47.480942719902657</v>
      </c>
      <c r="AB78" s="18">
        <f>(G78+Population!$B$11*AB77)*Population!N$29</f>
        <v>165.86019171261881</v>
      </c>
      <c r="AC78" s="18">
        <f>AB77*Population!$B$12*Population!$N$29+AC77*Population!$B$11*Population!$N$30+Y78*Population!$L$30</f>
        <v>165.55839826686881</v>
      </c>
      <c r="AD78" s="14">
        <f>(AC77*Population!$B$12*0.5*Population!$N$30)+(AD77*Population!$B$11*Population!N$31)+Y78*Population!$L$31</f>
        <v>82.262442983390585</v>
      </c>
      <c r="AE78" s="13">
        <f>(AC77*Population!$B$12*0.5*Population!$N$30)+(AE77*Population!$B$11*Population!N$31)+Y78*Population!$L$32</f>
        <v>82.262442983390585</v>
      </c>
      <c r="AF78" s="14">
        <f>(AD77*Population!$B$12*Population!N$31)+(AF77*Population!$B$11*Population!N$33)+Y78*Population!$L$33</f>
        <v>81.622204078675196</v>
      </c>
      <c r="AG78" s="13">
        <f>(AE77*Population!$B$12*Population!N$31)+(AG77*Population!$B$11*Population!N$33)+Y78*Population!$L$34</f>
        <v>81.62190024640347</v>
      </c>
      <c r="AH78" s="14">
        <f>(AF77*Population!$B$12*Population!N$33)+(AH77*Population!$B$11*Population!N$35)+Y78*Population!$L$35</f>
        <v>80.383104832983364</v>
      </c>
      <c r="AI78" s="13">
        <f>(AG77*Population!$B$12*Population!N$33)+(AI77*Population!$B$11*Population!N$35)+Y78*Population!$L$36</f>
        <v>80.379233925581445</v>
      </c>
      <c r="AJ78" s="14">
        <f>(AH77*Population!$B$12*Population!N$35)+(AJ77*Population!$B$11*Population!N$37)+Y78*Population!$L$37</f>
        <v>78.883240508490928</v>
      </c>
      <c r="AK78" s="13">
        <f>(AI77*Population!$B$12*Population!N$35)+(AK77*Population!$B$11*Population!N$37)+Y78*Population!$L$38</f>
        <v>78.858281526681509</v>
      </c>
      <c r="AL78" s="14">
        <f>(AJ77*Population!$B$12*Population!N$37)+(AL77*Population!$B$11*Population!N$39)+Y78*Population!$L$39</f>
        <v>77.238715108316086</v>
      </c>
      <c r="AM78" s="13">
        <f>(AK77*Population!$B$12*Population!N$37)+(AM77*Population!$B$11*Population!N$39)+Y78*Population!$L$40</f>
        <v>77.132055216127199</v>
      </c>
      <c r="AN78" s="14">
        <f>(AL77*Population!$B$12*Population!N$39)+(AN77*Population!$B$11*Population!N$41)+Y78*Population!$L$41</f>
        <v>75.641563020745465</v>
      </c>
      <c r="AO78" s="13">
        <f>(AM77*Population!$B$12*Population!N$39)+(AO77*Population!$B$11*Population!N$41)+Y78*Population!$L$42</f>
        <v>75.3029554081794</v>
      </c>
      <c r="AP78" s="15">
        <f>(AN77+AO77)*Population!$B$12*Population!$N$41+AP77*Population!$B$11*Population!$N$43</f>
        <v>143.38728416513649</v>
      </c>
      <c r="AQ78" s="5">
        <f>AP77*Population!N$43*Population!$B$12+AQ77*Population!$B$11*Population!N$44</f>
        <v>135.99699822789137</v>
      </c>
      <c r="AR78" s="5">
        <f>AQ77*Population!N$44*Population!$B$12+AR77*Population!$B$11*Population!N$45</f>
        <v>103.57296823185618</v>
      </c>
      <c r="AS78" s="5">
        <f>(AR77*Population!$B$12+AS77)*Population!N$46</f>
        <v>247.99605829341201</v>
      </c>
    </row>
    <row r="79" spans="1:45">
      <c r="A79">
        <f>A78+Population!$B$2</f>
        <v>76</v>
      </c>
      <c r="B79" s="4">
        <f t="shared" si="32"/>
        <v>1916</v>
      </c>
      <c r="C79" s="54">
        <f t="shared" si="31"/>
        <v>764</v>
      </c>
      <c r="D79" s="12">
        <f>AE78*Population!$Q$32*Population!$C$2+AG78*Population!$Q$34*Population!$C$2+AI78*Population!$Q$36*Population!$C$2+AK78*Population!$Q$38*Population!$C$2+AM78*Population!$Q$40*Population!$C$2+AO77*Population!$Q$42*Population!$C$2</f>
        <v>26.599950911708941</v>
      </c>
      <c r="E79" s="12">
        <f>IF(B78&gt;Population!$B$6*Population!$B$15,Population!$B$8,IF(Population!$J$6=1,D79,Population!$B$8*Population!$B$6*0.9/B78))</f>
        <v>23.761836638153017</v>
      </c>
      <c r="F79" s="12">
        <f>IF(B78&gt;Population!$B$6*0.75,Population!$B$8,E79)</f>
        <v>23.761836638153017</v>
      </c>
      <c r="G79" s="15">
        <f>IF(Population!$J$6=1,IF(E79&gt;H78,H78,E79),IF(E79&gt;X78,X78,E79))</f>
        <v>23.761836638153017</v>
      </c>
      <c r="H79" s="15">
        <f t="shared" si="33"/>
        <v>393</v>
      </c>
      <c r="I79" s="15">
        <f t="shared" si="34"/>
        <v>495</v>
      </c>
      <c r="J79" s="12">
        <f t="shared" si="28"/>
        <v>1.2595419847328244</v>
      </c>
      <c r="K79" s="12">
        <f>AB79*Population!$P$29+AC79*Population!$P$30+AD79*Population!$P$31+AE79*Population!$P$32+AF79*Population!$P$33+AG79*Population!$P$34+AH79*Population!$P$35+AI79*Population!$P$36+AJ79*Population!$P$37+AK79*Population!$P$38+AL79*Population!$P$37+AM79*Population!$P$38+AN79*Population!$P$39+AO79*Population!$P$40+AP79*Population!$P$41+AQ79*Population!$P$42+AR79*Population!$P$43+AS79*Population!$P$44</f>
        <v>4.7125899121894852</v>
      </c>
      <c r="L79" s="12">
        <f t="shared" si="35"/>
        <v>6.0462688646699791E-2</v>
      </c>
      <c r="M79" s="12">
        <f t="shared" si="36"/>
        <v>11.475494891021365</v>
      </c>
      <c r="N79" s="12">
        <f t="shared" si="29"/>
        <v>0.25835073068893527</v>
      </c>
      <c r="O79" s="12">
        <f t="shared" si="37"/>
        <v>728.71418607633711</v>
      </c>
      <c r="P79" s="12">
        <f t="shared" si="38"/>
        <v>207</v>
      </c>
      <c r="Q79" s="12">
        <f t="shared" si="39"/>
        <v>139.14290696183144</v>
      </c>
      <c r="R79" s="12">
        <f t="shared" si="40"/>
        <v>247.99605829341201</v>
      </c>
      <c r="S79" s="12">
        <f t="shared" si="41"/>
        <v>0.13022752340260846</v>
      </c>
      <c r="T79" s="12">
        <f t="shared" si="30"/>
        <v>0.88077075562806983</v>
      </c>
      <c r="U79" s="12">
        <f>Population!$B$13*MIN(Z78:AA78)</f>
        <v>11.870235679975664</v>
      </c>
      <c r="V79" s="12">
        <f>X78*Population!$B$14</f>
        <v>2.0748809016184224</v>
      </c>
      <c r="W79" s="12">
        <f>AO78*T78*Population!$B$12</f>
        <v>9.465931419596215</v>
      </c>
      <c r="X79" s="12">
        <f t="shared" si="44"/>
        <v>346.14290696183144</v>
      </c>
      <c r="Y79" s="12">
        <f>IF(B78&lt;Vehicle!$B$1*0.75,Vehicle!$B$1*0.01,0)</f>
        <v>0</v>
      </c>
      <c r="Z79" s="14">
        <f t="shared" si="42"/>
        <v>47.904201060612309</v>
      </c>
      <c r="AA79" s="13">
        <f t="shared" si="43"/>
        <v>47.478990031772867</v>
      </c>
      <c r="AB79" s="18">
        <f>(G79+Population!$B$11*AB78)*Population!N$29</f>
        <v>165.86034859657809</v>
      </c>
      <c r="AC79" s="18">
        <f>AB78*Population!$B$12*Population!$N$29+AC78*Population!$B$11*Population!$N$30+Y79*Population!$L$30</f>
        <v>165.55996260547658</v>
      </c>
      <c r="AD79" s="14">
        <f>(AC78*Population!$B$12*0.5*Population!$N$30)+(AD78*Population!$B$11*Population!N$31)+Y79*Population!$L$31</f>
        <v>82.266407866427699</v>
      </c>
      <c r="AE79" s="13">
        <f>(AC78*Population!$B$12*0.5*Population!$N$30)+(AE78*Population!$B$11*Population!N$31)+Y79*Population!$L$32</f>
        <v>82.266407866427699</v>
      </c>
      <c r="AF79" s="14">
        <f>(AD78*Population!$B$12*Population!N$31)+(AF78*Population!$B$11*Population!N$33)+Y79*Population!$L$33</f>
        <v>81.635793654908113</v>
      </c>
      <c r="AG79" s="13">
        <f>(AE78*Population!$B$12*Population!N$31)+(AG78*Population!$B$11*Population!N$33)+Y79*Population!$L$34</f>
        <v>81.635533475434187</v>
      </c>
      <c r="AH79" s="14">
        <f>(AF78*Population!$B$12*Population!N$33)+(AH78*Population!$B$11*Population!N$35)+Y79*Population!$L$35</f>
        <v>80.416719106916062</v>
      </c>
      <c r="AI79" s="13">
        <f>(AG78*Population!$B$12*Population!N$33)+(AI78*Population!$B$11*Population!N$35)+Y79*Population!$L$36</f>
        <v>80.413364193447819</v>
      </c>
      <c r="AJ79" s="14">
        <f>(AH78*Population!$B$12*Population!N$35)+(AJ78*Population!$B$11*Population!N$37)+Y79*Population!$L$37</f>
        <v>78.945639627427411</v>
      </c>
      <c r="AK79" s="13">
        <f>(AI78*Population!$B$12*Population!N$35)+(AK78*Population!$B$11*Population!N$37)+Y79*Population!$L$38</f>
        <v>78.923735364763729</v>
      </c>
      <c r="AL79" s="14">
        <f>(AJ78*Population!$B$12*Population!N$37)+(AL78*Population!$B$11*Population!N$39)+Y79*Population!$L$39</f>
        <v>77.324897905509047</v>
      </c>
      <c r="AM79" s="13">
        <f>(AK78*Population!$B$12*Population!N$37)+(AM78*Population!$B$11*Population!N$39)+Y79*Population!$L$40</f>
        <v>77.230091949546249</v>
      </c>
      <c r="AN79" s="14">
        <f>(AL78*Population!$B$12*Population!N$39)+(AN78*Population!$B$11*Population!N$41)+Y79*Population!$L$41</f>
        <v>75.724057727683132</v>
      </c>
      <c r="AO79" s="13">
        <f>(AM78*Population!$B$12*Population!N$39)+(AO78*Population!$B$11*Population!N$41)+Y79*Population!$L$42</f>
        <v>75.419172010412339</v>
      </c>
      <c r="AP79" s="15">
        <f>(AN78+AO78)*Population!$B$12*Population!$N$41+AP78*Population!$B$11*Population!$N$43</f>
        <v>143.53443758331099</v>
      </c>
      <c r="AQ79" s="5">
        <f>AP78*Population!N$43*Population!$B$12+AQ78*Population!$B$11*Population!N$44</f>
        <v>136.0591208999106</v>
      </c>
      <c r="AR79" s="5">
        <f>AQ78*Population!N$44*Population!$B$12+AR78*Population!$B$11*Population!N$45</f>
        <v>103.57911303591942</v>
      </c>
      <c r="AS79" s="5">
        <f>(AR78*Population!$B$12+AS78)*Population!N$46</f>
        <v>249.51593483939783</v>
      </c>
    </row>
    <row r="80" spans="1:45">
      <c r="A80">
        <f>A79+Population!$B$2</f>
        <v>77</v>
      </c>
      <c r="B80" s="4">
        <f t="shared" si="32"/>
        <v>1918</v>
      </c>
      <c r="C80" s="54">
        <f t="shared" si="31"/>
        <v>764</v>
      </c>
      <c r="D80" s="12">
        <f>AE79*Population!$Q$32*Population!$C$2+AG79*Population!$Q$34*Population!$C$2+AI79*Population!$Q$36*Population!$C$2+AK79*Population!$Q$38*Population!$C$2+AM79*Population!$Q$40*Population!$C$2+AO78*Population!$Q$42*Population!$C$2</f>
        <v>26.616246974732004</v>
      </c>
      <c r="E80" s="12">
        <f>IF(B79&gt;Population!$B$6*Population!$B$15,Population!$B$8,IF(Population!$J$6=1,D80,Population!$B$8*Population!$B$6*0.9/B79))</f>
        <v>23.761836638153017</v>
      </c>
      <c r="F80" s="12">
        <f>IF(B79&gt;Population!$B$6*0.75,Population!$B$8,E80)</f>
        <v>23.761836638153017</v>
      </c>
      <c r="G80" s="15">
        <f>IF(Population!$J$6=1,IF(E80&gt;H79,H79,E80),IF(E80&gt;X79,X79,E80))</f>
        <v>23.761836638153017</v>
      </c>
      <c r="H80" s="15">
        <f t="shared" si="33"/>
        <v>393</v>
      </c>
      <c r="I80" s="15">
        <f t="shared" si="34"/>
        <v>495</v>
      </c>
      <c r="J80" s="12">
        <f t="shared" si="28"/>
        <v>1.2595419847328244</v>
      </c>
      <c r="K80" s="12">
        <f>AB80*Population!$P$29+AC80*Population!$P$30+AD80*Population!$P$31+AE80*Population!$P$32+AF80*Population!$P$33+AG80*Population!$P$34+AH80*Population!$P$35+AI80*Population!$P$36+AJ80*Population!$P$37+AK80*Population!$P$38+AL80*Population!$P$37+AM80*Population!$P$38+AN80*Population!$P$39+AO80*Population!$P$40+AP80*Population!$P$41+AQ80*Population!$P$42+AR80*Population!$P$43+AS80*Population!$P$44</f>
        <v>4.7246869285612938</v>
      </c>
      <c r="L80" s="12">
        <f t="shared" si="35"/>
        <v>6.0462688646699791E-2</v>
      </c>
      <c r="M80" s="12">
        <f t="shared" si="36"/>
        <v>11.480383484302038</v>
      </c>
      <c r="N80" s="12">
        <f t="shared" si="29"/>
        <v>0.25808133472367051</v>
      </c>
      <c r="O80" s="12">
        <f t="shared" si="37"/>
        <v>730.10754912126527</v>
      </c>
      <c r="P80" s="12">
        <f t="shared" si="38"/>
        <v>207</v>
      </c>
      <c r="Q80" s="12">
        <f t="shared" si="39"/>
        <v>139.44622543936737</v>
      </c>
      <c r="R80" s="12">
        <f t="shared" si="40"/>
        <v>249.51593483939783</v>
      </c>
      <c r="S80" s="12">
        <f t="shared" si="41"/>
        <v>0.13084455719682148</v>
      </c>
      <c r="T80" s="12">
        <f t="shared" si="30"/>
        <v>0.88154255836989148</v>
      </c>
      <c r="U80" s="12">
        <f>Population!$B$13*MIN(Z79:AA79)</f>
        <v>11.869747507943217</v>
      </c>
      <c r="V80" s="12">
        <f>X79*Population!$B$14</f>
        <v>2.0768574417709886</v>
      </c>
      <c r="W80" s="12">
        <f>AO79*T79*Population!$B$12</f>
        <v>9.4895715886363217</v>
      </c>
      <c r="X80" s="12">
        <f t="shared" si="44"/>
        <v>346.44622543936737</v>
      </c>
      <c r="Y80" s="12">
        <f>IF(B79&lt;Vehicle!$B$1*0.75,Vehicle!$B$1*0.01,0)</f>
        <v>0</v>
      </c>
      <c r="Z80" s="14">
        <f t="shared" si="42"/>
        <v>47.867445439978326</v>
      </c>
      <c r="AA80" s="13">
        <f t="shared" si="43"/>
        <v>47.486522041391197</v>
      </c>
      <c r="AB80" s="18">
        <f>(G80+Population!$B$11*AB79)*Population!N$29</f>
        <v>165.86048301394757</v>
      </c>
      <c r="AC80" s="18">
        <f>AB79*Population!$B$12*Population!$N$29+AC79*Population!$B$11*Population!$N$30+Y80*Population!$L$30</f>
        <v>165.56132556834146</v>
      </c>
      <c r="AD80" s="14">
        <f>(AC79*Population!$B$12*0.5*Population!$N$30)+(AD79*Population!$B$11*Population!N$31)+Y80*Population!$L$31</f>
        <v>82.269914812190166</v>
      </c>
      <c r="AE80" s="13">
        <f>(AC79*Population!$B$12*0.5*Population!$N$30)+(AE79*Population!$B$11*Population!N$31)+Y80*Population!$L$32</f>
        <v>82.269914812190166</v>
      </c>
      <c r="AF80" s="14">
        <f>(AD79*Population!$B$12*Population!N$31)+(AF79*Population!$B$11*Population!N$33)+Y80*Population!$L$33</f>
        <v>81.647996634437277</v>
      </c>
      <c r="AG80" s="13">
        <f>(AE79*Population!$B$12*Population!N$31)+(AG79*Population!$B$11*Population!N$33)+Y80*Population!$L$34</f>
        <v>81.647773835989085</v>
      </c>
      <c r="AH80" s="14">
        <f>(AF79*Population!$B$12*Population!N$33)+(AH79*Population!$B$11*Population!N$35)+Y80*Population!$L$35</f>
        <v>80.447415540134244</v>
      </c>
      <c r="AI80" s="13">
        <f>(AG79*Population!$B$12*Population!N$33)+(AI79*Population!$B$11*Population!N$35)+Y80*Population!$L$36</f>
        <v>80.444508288172941</v>
      </c>
      <c r="AJ80" s="14">
        <f>(AH79*Population!$B$12*Population!N$35)+(AJ79*Population!$B$11*Population!N$37)+Y80*Population!$L$37</f>
        <v>79.00381471461246</v>
      </c>
      <c r="AK80" s="13">
        <f>(AI79*Population!$B$12*Population!N$35)+(AK79*Population!$B$11*Population!N$37)+Y80*Population!$L$38</f>
        <v>78.984597327339515</v>
      </c>
      <c r="AL80" s="14">
        <f>(AJ79*Population!$B$12*Population!N$37)+(AL79*Population!$B$11*Population!N$39)+Y80*Population!$L$39</f>
        <v>77.407524086932227</v>
      </c>
      <c r="AM80" s="13">
        <f>(AK79*Population!$B$12*Population!N$37)+(AM79*Population!$B$11*Population!N$39)+Y80*Population!$L$40</f>
        <v>77.323294690126005</v>
      </c>
      <c r="AN80" s="14">
        <f>(AL79*Population!$B$12*Population!N$39)+(AN79*Population!$B$11*Population!N$41)+Y80*Population!$L$41</f>
        <v>75.80691990322947</v>
      </c>
      <c r="AO80" s="13">
        <f>(AM79*Population!$B$12*Population!N$39)+(AO79*Population!$B$11*Population!N$41)+Y80*Population!$L$42</f>
        <v>75.532573339131048</v>
      </c>
      <c r="AP80" s="15">
        <f>(AN79+AO79)*Population!$B$12*Population!$N$41+AP79*Population!$B$11*Population!$N$43</f>
        <v>143.6879874574272</v>
      </c>
      <c r="AQ80" s="5">
        <f>AP79*Population!N$43*Population!$B$12+AQ79*Population!$B$11*Population!N$44</f>
        <v>136.13285236444995</v>
      </c>
      <c r="AR80" s="5">
        <f>AQ79*Population!N$44*Population!$B$12+AR79*Population!$B$11*Population!N$45</f>
        <v>103.59292424935069</v>
      </c>
      <c r="AS80" s="5">
        <f>(AR79*Population!$B$12+AS79)*Population!N$46</f>
        <v>250.95986070350358</v>
      </c>
    </row>
    <row r="81" spans="1:45">
      <c r="A81">
        <f>A80+Population!$B$2</f>
        <v>78</v>
      </c>
      <c r="B81" s="4">
        <f t="shared" si="32"/>
        <v>1920</v>
      </c>
      <c r="C81" s="54">
        <f t="shared" si="31"/>
        <v>765</v>
      </c>
      <c r="D81" s="12">
        <f>AE80*Population!$Q$32*Population!$C$2+AG80*Population!$Q$34*Population!$C$2+AI80*Population!$Q$36*Population!$C$2+AK80*Population!$Q$38*Population!$C$2+AM80*Population!$Q$40*Population!$C$2+AO79*Population!$Q$42*Population!$C$2</f>
        <v>26.631535903794028</v>
      </c>
      <c r="E81" s="12">
        <f>IF(B80&gt;Population!$B$6*Population!$B$15,Population!$B$8,IF(Population!$J$6=1,D81,Population!$B$8*Population!$B$6*0.9/B80))</f>
        <v>23.761836638153017</v>
      </c>
      <c r="F81" s="12">
        <f>IF(B80&gt;Population!$B$6*0.75,Population!$B$8,E81)</f>
        <v>23.761836638153017</v>
      </c>
      <c r="G81" s="15">
        <f>IF(Population!$J$6=1,IF(E81&gt;H80,H80,E81),IF(E81&gt;X80,X80,E81))</f>
        <v>23.761836638153017</v>
      </c>
      <c r="H81" s="15">
        <f t="shared" si="33"/>
        <v>394</v>
      </c>
      <c r="I81" s="15">
        <f t="shared" si="34"/>
        <v>495</v>
      </c>
      <c r="J81" s="12">
        <f t="shared" si="28"/>
        <v>1.2563451776649746</v>
      </c>
      <c r="K81" s="12">
        <f>AB81*Population!$P$29+AC81*Population!$P$30+AD81*Population!$P$31+AE81*Population!$P$32+AF81*Population!$P$33+AG81*Population!$P$34+AH81*Population!$P$35+AI81*Population!$P$36+AJ81*Population!$P$37+AK81*Population!$P$38+AL81*Population!$P$37+AM81*Population!$P$38+AN81*Population!$P$39+AO81*Population!$P$40+AP81*Population!$P$41+AQ81*Population!$P$42+AR81*Population!$P$43+AS81*Population!$P$44</f>
        <v>4.7363040346045295</v>
      </c>
      <c r="L81" s="12">
        <f t="shared" si="35"/>
        <v>6.030923004607365E-2</v>
      </c>
      <c r="M81" s="12">
        <f t="shared" si="36"/>
        <v>11.484882977761263</v>
      </c>
      <c r="N81" s="12">
        <f t="shared" si="29"/>
        <v>0.2578125</v>
      </c>
      <c r="O81" s="12">
        <f t="shared" si="37"/>
        <v>731.54597936059599</v>
      </c>
      <c r="P81" s="12">
        <f t="shared" si="38"/>
        <v>207</v>
      </c>
      <c r="Q81" s="12">
        <f t="shared" si="39"/>
        <v>139.727010319702</v>
      </c>
      <c r="R81" s="12">
        <f t="shared" si="40"/>
        <v>250.95986070350358</v>
      </c>
      <c r="S81" s="12">
        <f t="shared" si="41"/>
        <v>0.1314232879093461</v>
      </c>
      <c r="T81" s="12">
        <f t="shared" si="30"/>
        <v>0.88001779268959901</v>
      </c>
      <c r="U81" s="12">
        <f>Population!$B$13*MIN(Z80:AA80)</f>
        <v>11.871630510347799</v>
      </c>
      <c r="V81" s="12">
        <f>X80*Population!$B$14</f>
        <v>2.0786773526362041</v>
      </c>
      <c r="W81" s="12">
        <f>AO80*T80*Population!$B$12</f>
        <v>9.5121682773770058</v>
      </c>
      <c r="X81" s="12">
        <f t="shared" si="44"/>
        <v>346.727010319702</v>
      </c>
      <c r="Y81" s="12">
        <f>IF(B80&lt;Vehicle!$B$1*0.75,Vehicle!$B$1*0.01,0)</f>
        <v>0</v>
      </c>
      <c r="Z81" s="14">
        <f t="shared" si="42"/>
        <v>47.841409205209231</v>
      </c>
      <c r="AA81" s="13">
        <f t="shared" si="43"/>
        <v>47.500334081057872</v>
      </c>
      <c r="AB81" s="18">
        <f>(G81+Population!$B$11*AB80)*Population!N$29</f>
        <v>165.86059818205845</v>
      </c>
      <c r="AC81" s="18">
        <f>AB80*Population!$B$12*Population!$N$29+AC80*Population!$B$11*Population!$N$30+Y81*Population!$L$30</f>
        <v>165.56251275405364</v>
      </c>
      <c r="AD81" s="14">
        <f>(AC80*Population!$B$12*0.5*Population!$N$30)+(AD80*Population!$B$11*Population!N$31)+Y81*Population!$L$31</f>
        <v>82.273015233612753</v>
      </c>
      <c r="AE81" s="13">
        <f>(AC80*Population!$B$12*0.5*Population!$N$30)+(AE80*Population!$B$11*Population!N$31)+Y81*Population!$L$32</f>
        <v>82.273015233612753</v>
      </c>
      <c r="AF81" s="14">
        <f>(AD80*Population!$B$12*Population!N$31)+(AF80*Population!$B$11*Population!N$33)+Y81*Population!$L$33</f>
        <v>81.658946877891736</v>
      </c>
      <c r="AG81" s="13">
        <f>(AE80*Population!$B$12*Population!N$31)+(AG80*Population!$B$11*Population!N$33)+Y81*Population!$L$34</f>
        <v>81.658756089787801</v>
      </c>
      <c r="AH81" s="14">
        <f>(AF80*Population!$B$12*Population!N$33)+(AH80*Population!$B$11*Population!N$35)+Y81*Population!$L$35</f>
        <v>80.475417872489686</v>
      </c>
      <c r="AI81" s="13">
        <f>(AG80*Population!$B$12*Population!N$33)+(AI80*Population!$B$11*Population!N$35)+Y81*Population!$L$36</f>
        <v>80.472898928725897</v>
      </c>
      <c r="AJ81" s="14">
        <f>(AH80*Population!$B$12*Population!N$35)+(AJ80*Population!$B$11*Population!N$37)+Y81*Population!$L$37</f>
        <v>79.057960120637091</v>
      </c>
      <c r="AK81" s="13">
        <f>(AI80*Population!$B$12*Population!N$35)+(AK80*Population!$B$11*Population!N$37)+Y81*Population!$L$38</f>
        <v>79.041105176440823</v>
      </c>
      <c r="AL81" s="14">
        <f>(AJ80*Population!$B$12*Population!N$37)+(AL80*Population!$B$11*Population!N$39)+Y81*Population!$L$39</f>
        <v>77.486505319210323</v>
      </c>
      <c r="AM81" s="13">
        <f>(AK80*Population!$B$12*Population!N$37)+(AM80*Population!$B$11*Population!N$39)+Y81*Population!$L$40</f>
        <v>77.411707240913827</v>
      </c>
      <c r="AN81" s="14">
        <f>(AL80*Population!$B$12*Population!N$39)+(AN80*Population!$B$11*Population!N$41)+Y81*Population!$L$41</f>
        <v>75.889589334682412</v>
      </c>
      <c r="AO81" s="13">
        <f>(AM80*Population!$B$12*Population!N$39)+(AO80*Population!$B$11*Population!N$41)+Y81*Population!$L$42</f>
        <v>75.642876964891485</v>
      </c>
      <c r="AP81" s="15">
        <f>(AN80+AO80)*Population!$B$12*Population!$N$41+AP80*Population!$B$11*Population!$N$43</f>
        <v>143.84663124364292</v>
      </c>
      <c r="AQ81" s="5">
        <f>AP80*Population!N$43*Population!$B$12+AQ80*Population!$B$11*Population!N$44</f>
        <v>136.21736923674388</v>
      </c>
      <c r="AR81" s="5">
        <f>AQ80*Population!N$44*Population!$B$12+AR80*Population!$B$11*Population!N$45</f>
        <v>103.61462106892124</v>
      </c>
      <c r="AS81" s="5">
        <f>(AR80*Population!$B$12+AS80)*Population!N$46</f>
        <v>252.33271278594452</v>
      </c>
    </row>
    <row r="82" spans="1:45">
      <c r="A82">
        <f>A81+Population!$B$2</f>
        <v>79</v>
      </c>
      <c r="B82" s="4">
        <f t="shared" si="32"/>
        <v>1922</v>
      </c>
      <c r="C82" s="54">
        <f t="shared" si="31"/>
        <v>765</v>
      </c>
      <c r="D82" s="12">
        <f>AE81*Population!$Q$32*Population!$C$2+AG81*Population!$Q$34*Population!$C$2+AI81*Population!$Q$36*Population!$C$2+AK81*Population!$Q$38*Population!$C$2+AM81*Population!$Q$40*Population!$C$2+AO80*Population!$Q$42*Population!$C$2</f>
        <v>26.645863216780651</v>
      </c>
      <c r="E82" s="12">
        <f>IF(B81&gt;Population!$B$6*Population!$B$15,Population!$B$8,IF(Population!$J$6=1,D82,Population!$B$8*Population!$B$6*0.9/B81))</f>
        <v>23.761836638153017</v>
      </c>
      <c r="F82" s="12">
        <f>IF(B81&gt;Population!$B$6*0.75,Population!$B$8,E82)</f>
        <v>23.761836638153017</v>
      </c>
      <c r="G82" s="15">
        <f>IF(Population!$J$6=1,IF(E82&gt;H81,H81,E82),IF(E82&gt;X81,X81,E82))</f>
        <v>23.761836638153017</v>
      </c>
      <c r="H82" s="15">
        <f t="shared" si="33"/>
        <v>394</v>
      </c>
      <c r="I82" s="15">
        <f t="shared" si="34"/>
        <v>495</v>
      </c>
      <c r="J82" s="12">
        <f t="shared" si="28"/>
        <v>1.2563451776649746</v>
      </c>
      <c r="K82" s="12">
        <f>AB82*Population!$P$29+AC82*Population!$P$30+AD82*Population!$P$31+AE82*Population!$P$32+AF82*Population!$P$33+AG82*Population!$P$34+AH82*Population!$P$35+AI82*Population!$P$36+AJ82*Population!$P$37+AK82*Population!$P$38+AL82*Population!$P$37+AM82*Population!$P$38+AN82*Population!$P$39+AO82*Population!$P$40+AP82*Population!$P$41+AQ82*Population!$P$42+AR82*Population!$P$43+AS82*Population!$P$44</f>
        <v>4.7474720389307414</v>
      </c>
      <c r="L82" s="12">
        <f t="shared" si="35"/>
        <v>6.030923004607365E-2</v>
      </c>
      <c r="M82" s="12">
        <f t="shared" si="36"/>
        <v>11.489019759382298</v>
      </c>
      <c r="N82" s="12">
        <f t="shared" si="29"/>
        <v>0.25754422476586891</v>
      </c>
      <c r="O82" s="12">
        <f t="shared" si="37"/>
        <v>732.97570147799911</v>
      </c>
      <c r="P82" s="12">
        <f t="shared" si="38"/>
        <v>207</v>
      </c>
      <c r="Q82" s="12">
        <f t="shared" si="39"/>
        <v>140.01214926100045</v>
      </c>
      <c r="R82" s="12">
        <f t="shared" si="40"/>
        <v>252.33271278594452</v>
      </c>
      <c r="S82" s="12">
        <f t="shared" si="41"/>
        <v>0.13196625980113791</v>
      </c>
      <c r="T82" s="12">
        <f t="shared" si="30"/>
        <v>0.88074149558629555</v>
      </c>
      <c r="U82" s="12">
        <f>Population!$B$13*MIN(Z81:AA81)</f>
        <v>11.875083520264468</v>
      </c>
      <c r="V82" s="12">
        <f>X81*Population!$B$14</f>
        <v>2.0803620619182119</v>
      </c>
      <c r="W82" s="12">
        <f>AO81*T81*Population!$B$12</f>
        <v>9.5095825170478179</v>
      </c>
      <c r="X82" s="12">
        <f t="shared" si="44"/>
        <v>347.01214926100045</v>
      </c>
      <c r="Y82" s="12">
        <f>IF(B81&lt;Vehicle!$B$1*0.75,Vehicle!$B$1*0.01,0)</f>
        <v>0</v>
      </c>
      <c r="Z82" s="14">
        <f t="shared" si="42"/>
        <v>47.799195632473243</v>
      </c>
      <c r="AA82" s="13">
        <f t="shared" si="43"/>
        <v>47.493952142645355</v>
      </c>
      <c r="AB82" s="18">
        <f>(G82+Population!$B$11*AB81)*Population!N$29</f>
        <v>165.86069685750357</v>
      </c>
      <c r="AC82" s="18">
        <f>AB81*Population!$B$12*Population!$N$29+AC81*Population!$B$11*Population!$N$30+Y82*Population!$L$30</f>
        <v>165.5635465587572</v>
      </c>
      <c r="AD82" s="14">
        <f>(AC81*Population!$B$12*0.5*Population!$N$30)+(AD81*Population!$B$11*Population!N$31)+Y82*Population!$L$31</f>
        <v>82.275754984987543</v>
      </c>
      <c r="AE82" s="13">
        <f>(AC81*Population!$B$12*0.5*Population!$N$30)+(AE81*Population!$B$11*Population!N$31)+Y82*Population!$L$32</f>
        <v>82.275754984987543</v>
      </c>
      <c r="AF82" s="14">
        <f>(AD81*Population!$B$12*Population!N$31)+(AF81*Population!$B$11*Population!N$33)+Y82*Population!$L$33</f>
        <v>81.668766351313963</v>
      </c>
      <c r="AG82" s="13">
        <f>(AE81*Population!$B$12*Population!N$31)+(AG81*Population!$B$11*Population!N$33)+Y82*Population!$L$34</f>
        <v>81.668602974500075</v>
      </c>
      <c r="AH82" s="14">
        <f>(AF81*Population!$B$12*Population!N$33)+(AH81*Population!$B$11*Population!N$35)+Y82*Population!$L$35</f>
        <v>80.500936617509169</v>
      </c>
      <c r="AI82" s="13">
        <f>(AG81*Population!$B$12*Population!N$33)+(AI81*Population!$B$11*Population!N$35)+Y82*Population!$L$36</f>
        <v>80.498754438847257</v>
      </c>
      <c r="AJ82" s="14">
        <f>(AH81*Population!$B$12*Population!N$35)+(AJ81*Population!$B$11*Population!N$37)+Y82*Population!$L$37</f>
        <v>79.108274013343902</v>
      </c>
      <c r="AK82" s="13">
        <f>(AI81*Population!$B$12*Population!N$35)+(AK81*Population!$B$11*Population!N$37)+Y82*Population!$L$38</f>
        <v>79.093495498542154</v>
      </c>
      <c r="AL82" s="14">
        <f>(AJ81*Population!$B$12*Population!N$37)+(AL81*Population!$B$11*Population!N$39)+Y82*Population!$L$39</f>
        <v>77.561793744455727</v>
      </c>
      <c r="AM82" s="13">
        <f>(AK81*Population!$B$12*Population!N$37)+(AM81*Population!$B$11*Population!N$39)+Y82*Population!$L$40</f>
        <v>77.495400976081385</v>
      </c>
      <c r="AN82" s="14">
        <f>(AL81*Population!$B$12*Population!N$39)+(AN81*Population!$B$11*Population!N$41)+Y82*Population!$L$41</f>
        <v>75.971574166850914</v>
      </c>
      <c r="AO82" s="13">
        <f>(AM81*Population!$B$12*Population!N$39)+(AO81*Population!$B$11*Population!N$41)+Y82*Population!$L$42</f>
        <v>75.749847515674958</v>
      </c>
      <c r="AP82" s="15">
        <f>(AN81+AO81)*Population!$B$12*Population!$N$41+AP81*Population!$B$11*Population!$N$43</f>
        <v>144.00914042386256</v>
      </c>
      <c r="AQ82" s="5">
        <f>AP81*Population!N$43*Population!$B$12+AQ81*Population!$B$11*Population!N$44</f>
        <v>136.31178614654164</v>
      </c>
      <c r="AR82" s="5">
        <f>AQ81*Population!N$44*Population!$B$12+AR81*Population!$B$11*Population!N$45</f>
        <v>103.64426511212766</v>
      </c>
      <c r="AS82" s="5">
        <f>(AR81*Population!$B$12+AS81)*Population!N$46</f>
        <v>253.63915133778704</v>
      </c>
    </row>
    <row r="83" spans="1:45">
      <c r="A83">
        <f>A82+Population!$B$2</f>
        <v>80</v>
      </c>
      <c r="B83" s="4">
        <f t="shared" si="32"/>
        <v>1924</v>
      </c>
      <c r="C83" s="54">
        <f t="shared" si="31"/>
        <v>766</v>
      </c>
      <c r="D83" s="12">
        <f>AE82*Population!$Q$32*Population!$C$2+AG82*Population!$Q$34*Population!$C$2+AI82*Population!$Q$36*Population!$C$2+AK82*Population!$Q$38*Population!$C$2+AM82*Population!$Q$40*Population!$C$2+AO81*Population!$Q$42*Population!$C$2</f>
        <v>26.659274176354341</v>
      </c>
      <c r="E83" s="12">
        <f>IF(B82&gt;Population!$B$6*Population!$B$15,Population!$B$8,IF(Population!$J$6=1,D83,Population!$B$8*Population!$B$6*0.9/B82))</f>
        <v>23.761836638153017</v>
      </c>
      <c r="F83" s="12">
        <f>IF(B82&gt;Population!$B$6*0.75,Population!$B$8,E83)</f>
        <v>23.761836638153017</v>
      </c>
      <c r="G83" s="15">
        <f>IF(Population!$J$6=1,IF(E83&gt;H82,H82,E83),IF(E83&gt;X82,X82,E83))</f>
        <v>23.761836638153017</v>
      </c>
      <c r="H83" s="15">
        <f t="shared" si="33"/>
        <v>394</v>
      </c>
      <c r="I83" s="15">
        <f t="shared" si="34"/>
        <v>495</v>
      </c>
      <c r="J83" s="12">
        <f t="shared" si="28"/>
        <v>1.2563451776649746</v>
      </c>
      <c r="K83" s="12">
        <f>AB83*Population!$P$29+AC83*Population!$P$30+AD83*Population!$P$31+AE83*Population!$P$32+AF83*Population!$P$33+AG83*Population!$P$34+AH83*Population!$P$35+AI83*Population!$P$36+AJ83*Population!$P$37+AK83*Population!$P$38+AL83*Population!$P$37+AM83*Population!$P$38+AN83*Population!$P$39+AO83*Population!$P$40+AP83*Population!$P$41+AQ83*Population!$P$42+AR83*Population!$P$43+AS83*Population!$P$44</f>
        <v>4.7582194159721389</v>
      </c>
      <c r="L83" s="12">
        <f t="shared" si="35"/>
        <v>6.030923004607365E-2</v>
      </c>
      <c r="M83" s="12">
        <f t="shared" si="36"/>
        <v>11.4928190078372</v>
      </c>
      <c r="N83" s="12">
        <f t="shared" si="29"/>
        <v>0.25727650727650725</v>
      </c>
      <c r="O83" s="12">
        <f t="shared" si="37"/>
        <v>734.45459519534825</v>
      </c>
      <c r="P83" s="12">
        <f t="shared" si="38"/>
        <v>207</v>
      </c>
      <c r="Q83" s="12">
        <f t="shared" si="39"/>
        <v>140.27270240232588</v>
      </c>
      <c r="R83" s="12">
        <f t="shared" si="40"/>
        <v>253.63915133778704</v>
      </c>
      <c r="S83" s="12">
        <f t="shared" si="41"/>
        <v>0.13247588853015127</v>
      </c>
      <c r="T83" s="12">
        <f t="shared" si="30"/>
        <v>0.88140279797544641</v>
      </c>
      <c r="U83" s="12">
        <f>Population!$B$13*MIN(Z82:AA82)</f>
        <v>11.873488035661339</v>
      </c>
      <c r="V83" s="12">
        <f>X82*Population!$B$14</f>
        <v>2.0820728955660028</v>
      </c>
      <c r="W83" s="12">
        <f>AO82*T82*Population!$B$12</f>
        <v>9.5308619987699128</v>
      </c>
      <c r="X83" s="12">
        <f t="shared" si="44"/>
        <v>347.27270240232588</v>
      </c>
      <c r="Y83" s="12">
        <f>IF(B82&lt;Vehicle!$B$1*0.75,Vehicle!$B$1*0.01,0)</f>
        <v>0</v>
      </c>
      <c r="Z83" s="14">
        <f t="shared" si="42"/>
        <v>47.769812326876377</v>
      </c>
      <c r="AA83" s="13">
        <f t="shared" si="43"/>
        <v>47.496769165992987</v>
      </c>
      <c r="AB83" s="18">
        <f>(G83+Population!$B$11*AB82)*Population!N$29</f>
        <v>165.86078140211745</v>
      </c>
      <c r="AC83" s="18">
        <f>AB82*Population!$B$12*Population!$N$29+AC82*Population!$B$11*Population!$N$30+Y83*Population!$L$30</f>
        <v>165.56444656846691</v>
      </c>
      <c r="AD83" s="14">
        <f>(AC82*Population!$B$12*0.5*Population!$N$30)+(AD82*Population!$B$11*Population!N$31)+Y83*Population!$L$31</f>
        <v>82.278174931901702</v>
      </c>
      <c r="AE83" s="13">
        <f>(AC82*Population!$B$12*0.5*Population!$N$30)+(AE82*Population!$B$11*Population!N$31)+Y83*Population!$L$32</f>
        <v>82.278174931901702</v>
      </c>
      <c r="AF83" s="14">
        <f>(AD82*Population!$B$12*Population!N$31)+(AF82*Population!$B$11*Population!N$33)+Y83*Population!$L$33</f>
        <v>81.677566041767705</v>
      </c>
      <c r="AG83" s="13">
        <f>(AE82*Population!$B$12*Population!N$31)+(AG82*Population!$B$11*Population!N$33)+Y83*Population!$L$34</f>
        <v>81.677426137954171</v>
      </c>
      <c r="AH83" s="14">
        <f>(AF82*Population!$B$12*Population!N$33)+(AH82*Population!$B$11*Population!N$35)+Y83*Population!$L$35</f>
        <v>80.524169276028928</v>
      </c>
      <c r="AI83" s="13">
        <f>(AG82*Population!$B$12*Population!N$33)+(AI82*Population!$B$11*Population!N$35)+Y83*Population!$L$36</f>
        <v>80.522279111116191</v>
      </c>
      <c r="AJ83" s="14">
        <f>(AH82*Population!$B$12*Population!N$35)+(AJ82*Population!$B$11*Population!N$37)+Y83*Population!$L$37</f>
        <v>79.154955940376169</v>
      </c>
      <c r="AK83" s="13">
        <f>(AI82*Population!$B$12*Population!N$35)+(AK82*Population!$B$11*Population!N$37)+Y83*Population!$L$38</f>
        <v>79.142001821919195</v>
      </c>
      <c r="AL83" s="14">
        <f>(AJ82*Population!$B$12*Population!N$37)+(AL82*Population!$B$11*Population!N$39)+Y83*Population!$L$39</f>
        <v>77.633376675719489</v>
      </c>
      <c r="AM83" s="13">
        <f>(AK82*Population!$B$12*Population!N$37)+(AM82*Population!$B$11*Population!N$39)+Y83*Population!$L$40</f>
        <v>77.574470689204119</v>
      </c>
      <c r="AN83" s="14">
        <f>(AL82*Population!$B$12*Population!N$39)+(AN82*Population!$B$11*Population!N$41)+Y83*Population!$L$41</f>
        <v>76.052446795309976</v>
      </c>
      <c r="AO83" s="13">
        <f>(AM82*Population!$B$12*Population!N$39)+(AO82*Population!$B$11*Population!N$41)+Y83*Population!$L$42</f>
        <v>75.853293808125201</v>
      </c>
      <c r="AP83" s="15">
        <f>(AN82+AO82)*Population!$B$12*Population!$N$41+AP82*Population!$B$11*Population!$N$43</f>
        <v>144.17436592680468</v>
      </c>
      <c r="AQ83" s="5">
        <f>AP82*Population!N$43*Population!$B$12+AQ82*Population!$B$11*Population!N$44</f>
        <v>136.41517547680925</v>
      </c>
      <c r="AR83" s="5">
        <f>AQ82*Population!N$44*Population!$B$12+AR82*Population!$B$11*Population!N$45</f>
        <v>103.68178096127957</v>
      </c>
      <c r="AS83" s="5">
        <f>(AR82*Population!$B$12+AS82)*Population!N$46</f>
        <v>254.88360953201104</v>
      </c>
    </row>
    <row r="84" spans="1:45">
      <c r="A84">
        <f>A83+Population!$B$2</f>
        <v>81</v>
      </c>
      <c r="B84" s="4">
        <f t="shared" si="32"/>
        <v>1926</v>
      </c>
      <c r="C84" s="54">
        <f t="shared" si="31"/>
        <v>766</v>
      </c>
      <c r="D84" s="12">
        <f>AE83*Population!$Q$32*Population!$C$2+AG83*Population!$Q$34*Population!$C$2+AI83*Population!$Q$36*Population!$C$2+AK83*Population!$Q$38*Population!$C$2+AM83*Population!$Q$40*Population!$C$2+AO82*Population!$Q$42*Population!$C$2</f>
        <v>26.671813549371397</v>
      </c>
      <c r="E84" s="12">
        <f>IF(B83&gt;Population!$B$6*Population!$B$15,Population!$B$8,IF(Population!$J$6=1,D84,Population!$B$8*Population!$B$6*0.9/B83))</f>
        <v>23.761836638153017</v>
      </c>
      <c r="F84" s="12">
        <f>IF(B83&gt;Population!$B$6*0.75,Population!$B$8,E84)</f>
        <v>23.761836638153017</v>
      </c>
      <c r="G84" s="15">
        <f>IF(Population!$J$6=1,IF(E84&gt;H83,H83,E84),IF(E84&gt;X83,X83,E84))</f>
        <v>23.761836638153017</v>
      </c>
      <c r="H84" s="15">
        <f t="shared" si="33"/>
        <v>395</v>
      </c>
      <c r="I84" s="15">
        <f t="shared" si="34"/>
        <v>495</v>
      </c>
      <c r="J84" s="12">
        <f t="shared" si="28"/>
        <v>1.2531645569620253</v>
      </c>
      <c r="K84" s="12">
        <f>AB84*Population!$P$29+AC84*Population!$P$30+AD84*Population!$P$31+AE84*Population!$P$32+AF84*Population!$P$33+AG84*Population!$P$34+AH84*Population!$P$35+AI84*Population!$P$36+AJ84*Population!$P$37+AK84*Population!$P$38+AL84*Population!$P$37+AM84*Population!$P$38+AN84*Population!$P$39+AO84*Population!$P$40+AP84*Population!$P$41+AQ84*Population!$P$42+AR84*Population!$P$43+AS84*Population!$P$44</f>
        <v>4.7685724030845646</v>
      </c>
      <c r="L84" s="12">
        <f t="shared" si="35"/>
        <v>6.0156548451020295E-2</v>
      </c>
      <c r="M84" s="12">
        <f t="shared" si="36"/>
        <v>11.496304666094044</v>
      </c>
      <c r="N84" s="12">
        <f t="shared" si="29"/>
        <v>0.2570093457943925</v>
      </c>
      <c r="O84" s="12">
        <f t="shared" si="37"/>
        <v>735.97557029778966</v>
      </c>
      <c r="P84" s="12">
        <f t="shared" si="38"/>
        <v>207</v>
      </c>
      <c r="Q84" s="12">
        <f t="shared" si="39"/>
        <v>140.51221485110517</v>
      </c>
      <c r="R84" s="12">
        <f t="shared" si="40"/>
        <v>254.88360953201104</v>
      </c>
      <c r="S84" s="12">
        <f t="shared" si="41"/>
        <v>0.1329544581246323</v>
      </c>
      <c r="T84" s="12">
        <f t="shared" si="30"/>
        <v>0.87977775911672196</v>
      </c>
      <c r="U84" s="12">
        <f>Population!$B$13*MIN(Z83:AA83)</f>
        <v>11.874192291498247</v>
      </c>
      <c r="V84" s="12">
        <f>X83*Population!$B$14</f>
        <v>2.0836362144139553</v>
      </c>
      <c r="W84" s="12">
        <f>AO83*T83*Population!$B$12</f>
        <v>9.5510436283050222</v>
      </c>
      <c r="X84" s="12">
        <f t="shared" si="44"/>
        <v>347.51221485110517</v>
      </c>
      <c r="Y84" s="12">
        <f>IF(B83&lt;Vehicle!$B$1*0.75,Vehicle!$B$1*0.01,0)</f>
        <v>0</v>
      </c>
      <c r="Z84" s="14">
        <f t="shared" si="42"/>
        <v>47.74984870385498</v>
      </c>
      <c r="AA84" s="13">
        <f t="shared" si="43"/>
        <v>47.505725452474792</v>
      </c>
      <c r="AB84" s="18">
        <f>(G84+Population!$B$11*AB83)*Population!N$29</f>
        <v>165.86085383950783</v>
      </c>
      <c r="AC84" s="18">
        <f>AB83*Population!$B$12*Population!$N$29+AC83*Population!$B$11*Population!$N$30+Y84*Population!$L$30</f>
        <v>165.56522990468605</v>
      </c>
      <c r="AD84" s="14">
        <f>(AC83*Population!$B$12*0.5*Population!$N$30)+(AD83*Population!$B$11*Population!N$31)+Y84*Population!$L$31</f>
        <v>82.280311467306319</v>
      </c>
      <c r="AE84" s="13">
        <f>(AC83*Population!$B$12*0.5*Population!$N$30)+(AE83*Population!$B$11*Population!N$31)+Y84*Population!$L$32</f>
        <v>82.280311467306319</v>
      </c>
      <c r="AF84" s="14">
        <f>(AD83*Population!$B$12*Population!N$31)+(AF83*Population!$B$11*Population!N$33)+Y84*Population!$L$33</f>
        <v>81.685446822738726</v>
      </c>
      <c r="AG84" s="13">
        <f>(AE83*Population!$B$12*Population!N$31)+(AG83*Population!$B$11*Population!N$33)+Y84*Population!$L$34</f>
        <v>81.685327019465689</v>
      </c>
      <c r="AH84" s="14">
        <f>(AF83*Population!$B$12*Population!N$33)+(AH83*Population!$B$11*Population!N$35)+Y84*Population!$L$35</f>
        <v>80.545300649634811</v>
      </c>
      <c r="AI84" s="13">
        <f>(AG83*Population!$B$12*Population!N$33)+(AI83*Population!$B$11*Population!N$35)+Y84*Population!$L$36</f>
        <v>80.54366365174026</v>
      </c>
      <c r="AJ84" s="14">
        <f>(AH83*Population!$B$12*Population!N$35)+(AJ83*Population!$B$11*Population!N$37)+Y84*Population!$L$37</f>
        <v>79.198204774406122</v>
      </c>
      <c r="AK84" s="13">
        <f>(AI83*Population!$B$12*Population!N$35)+(AK83*Population!$B$11*Population!N$37)+Y84*Population!$L$38</f>
        <v>79.186853057964228</v>
      </c>
      <c r="AL84" s="14">
        <f>(AJ83*Population!$B$12*Population!N$37)+(AL83*Population!$B$11*Population!N$39)+Y84*Population!$L$39</f>
        <v>77.701271711426187</v>
      </c>
      <c r="AM84" s="13">
        <f>(AK83*Population!$B$12*Population!N$37)+(AM83*Population!$B$11*Population!N$39)+Y84*Population!$L$40</f>
        <v>77.649030773043734</v>
      </c>
      <c r="AN84" s="14">
        <f>(AL83*Population!$B$12*Population!N$39)+(AN83*Population!$B$11*Population!N$41)+Y84*Population!$L$41</f>
        <v>76.13183959675429</v>
      </c>
      <c r="AO84" s="13">
        <f>(AM83*Population!$B$12*Population!N$39)+(AO83*Population!$B$11*Population!N$41)+Y84*Population!$L$42</f>
        <v>75.95306580136608</v>
      </c>
      <c r="AP84" s="15">
        <f>(AN83+AO83)*Population!$B$12*Population!$N$41+AP83*Population!$B$11*Population!$N$43</f>
        <v>144.34124174635554</v>
      </c>
      <c r="AQ84" s="5">
        <f>AP83*Population!N$43*Population!$B$12+AQ83*Population!$B$11*Population!N$44</f>
        <v>136.52658492877853</v>
      </c>
      <c r="AR84" s="5">
        <f>AQ83*Population!N$44*Population!$B$12+AR83*Population!$B$11*Population!N$45</f>
        <v>103.72697568247098</v>
      </c>
      <c r="AS84" s="5">
        <f>(AR83*Population!$B$12+AS83)*Population!N$46</f>
        <v>256.0702863480418</v>
      </c>
    </row>
    <row r="85" spans="1:45">
      <c r="A85">
        <f>A84+Population!$B$2</f>
        <v>82</v>
      </c>
      <c r="B85" s="4">
        <f t="shared" si="32"/>
        <v>1928</v>
      </c>
      <c r="C85" s="54">
        <f t="shared" si="31"/>
        <v>767</v>
      </c>
      <c r="D85" s="12">
        <f>AE84*Population!$Q$32*Population!$C$2+AG84*Population!$Q$34*Population!$C$2+AI84*Population!$Q$36*Population!$C$2+AK84*Population!$Q$38*Population!$C$2+AM84*Population!$Q$40*Population!$C$2+AO83*Population!$Q$42*Population!$C$2</f>
        <v>26.683525398628547</v>
      </c>
      <c r="E85" s="12">
        <f>IF(B84&gt;Population!$B$6*Population!$B$15,Population!$B$8,IF(Population!$J$6=1,D85,Population!$B$8*Population!$B$6*0.9/B84))</f>
        <v>23.761836638153017</v>
      </c>
      <c r="F85" s="12">
        <f>IF(B84&gt;Population!$B$6*0.75,Population!$B$8,E85)</f>
        <v>23.761836638153017</v>
      </c>
      <c r="G85" s="15">
        <f>IF(Population!$J$6=1,IF(E85&gt;H84,H84,E85),IF(E85&gt;X84,X84,E85))</f>
        <v>23.761836638153017</v>
      </c>
      <c r="H85" s="15">
        <f t="shared" si="33"/>
        <v>395</v>
      </c>
      <c r="I85" s="15">
        <f t="shared" si="34"/>
        <v>495</v>
      </c>
      <c r="J85" s="12">
        <f t="shared" si="28"/>
        <v>1.2531645569620253</v>
      </c>
      <c r="K85" s="12">
        <f>AB85*Population!$P$29+AC85*Population!$P$30+AD85*Population!$P$31+AE85*Population!$P$32+AF85*Population!$P$33+AG85*Population!$P$34+AH85*Population!$P$35+AI85*Population!$P$36+AJ85*Population!$P$37+AK85*Population!$P$38+AL85*Population!$P$37+AM85*Population!$P$38+AN85*Population!$P$39+AO85*Population!$P$40+AP85*Population!$P$41+AQ85*Population!$P$42+AR85*Population!$P$43+AS85*Population!$P$44</f>
        <v>4.7785551064327247</v>
      </c>
      <c r="L85" s="12">
        <f t="shared" si="35"/>
        <v>6.0156548451020295E-2</v>
      </c>
      <c r="M85" s="12">
        <f t="shared" si="36"/>
        <v>11.499499430889434</v>
      </c>
      <c r="N85" s="12">
        <f t="shared" si="29"/>
        <v>0.25674273858921159</v>
      </c>
      <c r="O85" s="12">
        <f t="shared" si="37"/>
        <v>737.48480215798577</v>
      </c>
      <c r="P85" s="12">
        <f t="shared" si="38"/>
        <v>207</v>
      </c>
      <c r="Q85" s="12">
        <f t="shared" si="39"/>
        <v>140.75759892100712</v>
      </c>
      <c r="R85" s="12">
        <f t="shared" si="40"/>
        <v>256.0702863480418</v>
      </c>
      <c r="S85" s="12">
        <f t="shared" si="41"/>
        <v>0.13340411953491138</v>
      </c>
      <c r="T85" s="12">
        <f t="shared" si="30"/>
        <v>0.88039898461014454</v>
      </c>
      <c r="U85" s="12">
        <f>Population!$B$13*MIN(Z84:AA84)</f>
        <v>11.876431363118698</v>
      </c>
      <c r="V85" s="12">
        <f>X84*Population!$B$14</f>
        <v>2.085073289106631</v>
      </c>
      <c r="W85" s="12">
        <f>AO84*T84*Population!$B$12</f>
        <v>9.5459740041101107</v>
      </c>
      <c r="X85" s="12">
        <f t="shared" si="44"/>
        <v>347.75759892100712</v>
      </c>
      <c r="Y85" s="12">
        <f>IF(B84&lt;Vehicle!$B$1*0.75,Vehicle!$B$1*0.01,0)</f>
        <v>0</v>
      </c>
      <c r="Z85" s="14">
        <f t="shared" si="42"/>
        <v>47.712584422683619</v>
      </c>
      <c r="AA85" s="13">
        <f t="shared" si="43"/>
        <v>47.494419850625036</v>
      </c>
      <c r="AB85" s="18">
        <f>(G85+Population!$B$11*AB84)*Population!N$29</f>
        <v>165.86091590349139</v>
      </c>
      <c r="AC85" s="18">
        <f>AB84*Population!$B$12*Population!$N$29+AC84*Population!$B$11*Population!$N$30+Y85*Population!$L$30</f>
        <v>165.56591152865627</v>
      </c>
      <c r="AD85" s="14">
        <f>(AC84*Population!$B$12*0.5*Population!$N$30)+(AD84*Population!$B$11*Population!N$31)+Y85*Population!$L$31</f>
        <v>82.282196978120965</v>
      </c>
      <c r="AE85" s="13">
        <f>(AC84*Population!$B$12*0.5*Population!$N$30)+(AE84*Population!$B$11*Population!N$31)+Y85*Population!$L$32</f>
        <v>82.282196978120965</v>
      </c>
      <c r="AF85" s="14">
        <f>(AD84*Population!$B$12*Population!N$31)+(AF84*Population!$B$11*Population!N$33)+Y85*Population!$L$33</f>
        <v>81.692500268853991</v>
      </c>
      <c r="AG85" s="13">
        <f>(AE84*Population!$B$12*Population!N$31)+(AG84*Population!$B$11*Population!N$33)+Y85*Population!$L$34</f>
        <v>81.692397678196414</v>
      </c>
      <c r="AH85" s="14">
        <f>(AF84*Population!$B$12*Population!N$33)+(AH84*Population!$B$11*Population!N$35)+Y85*Population!$L$35</f>
        <v>80.564503232320249</v>
      </c>
      <c r="AI85" s="13">
        <f>(AG84*Population!$B$12*Population!N$33)+(AI84*Population!$B$11*Population!N$35)+Y85*Population!$L$36</f>
        <v>80.563085686855672</v>
      </c>
      <c r="AJ85" s="14">
        <f>(AH84*Population!$B$12*Population!N$35)+(AJ84*Population!$B$11*Population!N$37)+Y85*Population!$L$37</f>
        <v>79.238216999974739</v>
      </c>
      <c r="AK85" s="13">
        <f>(AI84*Population!$B$12*Population!N$35)+(AK84*Population!$B$11*Population!N$37)+Y85*Population!$L$38</f>
        <v>79.228272231155216</v>
      </c>
      <c r="AL85" s="14">
        <f>(AJ84*Population!$B$12*Population!N$37)+(AL84*Population!$B$11*Population!N$39)+Y85*Population!$L$39</f>
        <v>77.765522262811544</v>
      </c>
      <c r="AM85" s="13">
        <f>(AK84*Population!$B$12*Population!N$37)+(AM84*Population!$B$11*Population!N$39)+Y85*Population!$L$40</f>
        <v>77.719211729121412</v>
      </c>
      <c r="AN85" s="14">
        <f>(AL84*Population!$B$12*Population!N$39)+(AN84*Population!$B$11*Population!N$41)+Y85*Population!$L$41</f>
        <v>76.209440579730185</v>
      </c>
      <c r="AO85" s="13">
        <f>(AM84*Population!$B$12*Population!N$39)+(AO84*Population!$B$11*Population!N$41)+Y85*Population!$L$42</f>
        <v>76.049051446303466</v>
      </c>
      <c r="AP85" s="15">
        <f>(AN84+AO84)*Population!$B$12*Population!$N$41+AP84*Population!$B$11*Population!$N$43</f>
        <v>144.50878697741754</v>
      </c>
      <c r="AQ85" s="5">
        <f>AP84*Population!N$43*Population!$B$12+AQ84*Population!$B$11*Population!N$44</f>
        <v>136.64505298170911</v>
      </c>
      <c r="AR85" s="5">
        <f>AQ84*Population!N$44*Population!$B$12+AR84*Population!$B$11*Population!N$45</f>
        <v>103.77955720200003</v>
      </c>
      <c r="AS85" s="5">
        <f>(AR84*Population!$B$12+AS84)*Population!N$46</f>
        <v>257.20314246330912</v>
      </c>
    </row>
    <row r="86" spans="1:45">
      <c r="A86">
        <f>A85+Population!$B$2</f>
        <v>83</v>
      </c>
      <c r="B86" s="4">
        <f t="shared" si="32"/>
        <v>1930</v>
      </c>
      <c r="C86" s="54">
        <f t="shared" si="31"/>
        <v>767</v>
      </c>
      <c r="D86" s="12">
        <f>AE85*Population!$Q$32*Population!$C$2+AG85*Population!$Q$34*Population!$C$2+AI85*Population!$Q$36*Population!$C$2+AK85*Population!$Q$38*Population!$C$2+AM85*Population!$Q$40*Population!$C$2+AO84*Population!$Q$42*Population!$C$2</f>
        <v>26.694452904587834</v>
      </c>
      <c r="E86" s="12">
        <f>IF(B85&gt;Population!$B$6*Population!$B$15,Population!$B$8,IF(Population!$J$6=1,D86,Population!$B$8*Population!$B$6*0.9/B85))</f>
        <v>23.761836638153017</v>
      </c>
      <c r="F86" s="12">
        <f>IF(B85&gt;Population!$B$6*0.75,Population!$B$8,E86)</f>
        <v>23.761836638153017</v>
      </c>
      <c r="G86" s="15">
        <f>IF(Population!$J$6=1,IF(E86&gt;H85,H85,E86),IF(E86&gt;X85,X85,E86))</f>
        <v>23.761836638153017</v>
      </c>
      <c r="H86" s="15">
        <f t="shared" si="33"/>
        <v>395</v>
      </c>
      <c r="I86" s="15">
        <f t="shared" si="34"/>
        <v>495</v>
      </c>
      <c r="J86" s="12">
        <f t="shared" si="28"/>
        <v>1.2531645569620253</v>
      </c>
      <c r="K86" s="12">
        <f>AB86*Population!$P$29+AC86*Population!$P$30+AD86*Population!$P$31+AE86*Population!$P$32+AF86*Population!$P$33+AG86*Population!$P$34+AH86*Population!$P$35+AI86*Population!$P$36+AJ86*Population!$P$37+AK86*Population!$P$38+AL86*Population!$P$37+AM86*Population!$P$38+AN86*Population!$P$39+AO86*Population!$P$40+AP86*Population!$P$41+AQ86*Population!$P$42+AR86*Population!$P$43+AS86*Population!$P$44</f>
        <v>4.7881896134115625</v>
      </c>
      <c r="L86" s="12">
        <f t="shared" si="35"/>
        <v>6.0156548451020295E-2</v>
      </c>
      <c r="M86" s="12">
        <f t="shared" si="36"/>
        <v>11.502424755557637</v>
      </c>
      <c r="N86" s="12">
        <f t="shared" si="29"/>
        <v>0.25647668393782386</v>
      </c>
      <c r="O86" s="12">
        <f t="shared" si="37"/>
        <v>739.04025704083688</v>
      </c>
      <c r="P86" s="12">
        <f t="shared" si="38"/>
        <v>207</v>
      </c>
      <c r="Q86" s="12">
        <f t="shared" si="39"/>
        <v>140.97987147958156</v>
      </c>
      <c r="R86" s="12">
        <f t="shared" si="40"/>
        <v>257.20314246330912</v>
      </c>
      <c r="S86" s="12">
        <f t="shared" si="41"/>
        <v>0.13382689059323419</v>
      </c>
      <c r="T86" s="12">
        <f t="shared" si="30"/>
        <v>0.88096169994830775</v>
      </c>
      <c r="U86" s="12">
        <f>Population!$B$13*MIN(Z85:AA85)</f>
        <v>11.873604962656259</v>
      </c>
      <c r="V86" s="12">
        <f>X85*Population!$B$14</f>
        <v>2.0865455935260426</v>
      </c>
      <c r="W86" s="12">
        <f>AO85*T85*Population!$B$12</f>
        <v>9.564786810555745</v>
      </c>
      <c r="X86" s="12">
        <f t="shared" si="44"/>
        <v>347.97987147958156</v>
      </c>
      <c r="Y86" s="12">
        <f>IF(B85&lt;Vehicle!$B$1*0.75,Vehicle!$B$1*0.01,0)</f>
        <v>0</v>
      </c>
      <c r="Z86" s="14">
        <f t="shared" si="42"/>
        <v>47.68724341564689</v>
      </c>
      <c r="AA86" s="13">
        <f t="shared" si="43"/>
        <v>47.492366361260281</v>
      </c>
      <c r="AB86" s="18">
        <f>(G86+Population!$B$11*AB85)*Population!N$29</f>
        <v>165.8609690795933</v>
      </c>
      <c r="AC86" s="18">
        <f>AB85*Population!$B$12*Population!$N$29+AC85*Population!$B$11*Population!$N$30+Y86*Population!$L$30</f>
        <v>165.56650450900122</v>
      </c>
      <c r="AD86" s="14">
        <f>(AC85*Population!$B$12*0.5*Population!$N$30)+(AD85*Population!$B$11*Population!N$31)+Y86*Population!$L$31</f>
        <v>82.283860266526574</v>
      </c>
      <c r="AE86" s="13">
        <f>(AC85*Population!$B$12*0.5*Population!$N$30)+(AE85*Population!$B$11*Population!N$31)+Y86*Population!$L$32</f>
        <v>82.283860266526574</v>
      </c>
      <c r="AF86" s="14">
        <f>(AD85*Population!$B$12*Population!N$31)+(AF85*Population!$B$11*Population!N$33)+Y86*Population!$L$33</f>
        <v>81.698809420141075</v>
      </c>
      <c r="AG86" s="13">
        <f>(AE85*Population!$B$12*Population!N$31)+(AG85*Population!$B$11*Population!N$33)+Y86*Population!$L$34</f>
        <v>81.698721569093635</v>
      </c>
      <c r="AH86" s="14">
        <f>(AF85*Population!$B$12*Population!N$33)+(AH85*Population!$B$11*Population!N$35)+Y86*Population!$L$35</f>
        <v>80.581937661826132</v>
      </c>
      <c r="AI86" s="13">
        <f>(AG85*Population!$B$12*Population!N$33)+(AI85*Population!$B$11*Population!N$35)+Y86*Population!$L$36</f>
        <v>80.58071031389008</v>
      </c>
      <c r="AJ86" s="14">
        <f>(AH85*Population!$B$12*Population!N$35)+(AJ85*Population!$B$11*Population!N$37)+Y86*Population!$L$37</f>
        <v>79.27518530373186</v>
      </c>
      <c r="AK86" s="13">
        <f>(AI85*Population!$B$12*Population!N$35)+(AK85*Population!$B$11*Population!N$37)+Y86*Population!$L$38</f>
        <v>79.266475464737908</v>
      </c>
      <c r="AL86" s="14">
        <f>(AJ85*Population!$B$12*Population!N$37)+(AL85*Population!$B$11*Population!N$39)+Y86*Population!$L$39</f>
        <v>77.826193483390924</v>
      </c>
      <c r="AM86" s="13">
        <f>(AK85*Population!$B$12*Population!N$37)+(AM85*Population!$B$11*Population!N$39)+Y86*Population!$L$40</f>
        <v>77.785157000582927</v>
      </c>
      <c r="AN86" s="14">
        <f>(AL85*Population!$B$12*Population!N$39)+(AN85*Population!$B$11*Population!N$41)+Y86*Population!$L$41</f>
        <v>76.284989026138504</v>
      </c>
      <c r="AO86" s="13">
        <f>(AM85*Population!$B$12*Population!N$39)+(AO85*Population!$B$11*Population!N$41)+Y86*Population!$L$42</f>
        <v>76.141173492537277</v>
      </c>
      <c r="AP86" s="15">
        <f>(AN85+AO85)*Population!$B$12*Population!$N$41+AP85*Population!$B$11*Population!$N$43</f>
        <v>144.67610647890447</v>
      </c>
      <c r="AQ86" s="5">
        <f>AP85*Population!N$43*Population!$B$12+AQ85*Population!$B$11*Population!N$44</f>
        <v>136.7696223367688</v>
      </c>
      <c r="AR86" s="5">
        <f>AQ85*Population!N$44*Population!$B$12+AR85*Population!$B$11*Population!N$45</f>
        <v>103.83915145436025</v>
      </c>
      <c r="AS86" s="5">
        <f>(AR85*Population!$B$12+AS85)*Population!N$46</f>
        <v>258.28589884494198</v>
      </c>
    </row>
    <row r="87" spans="1:45">
      <c r="A87">
        <f>A86+Population!$B$2</f>
        <v>84</v>
      </c>
      <c r="B87" s="4">
        <f t="shared" si="32"/>
        <v>1932</v>
      </c>
      <c r="C87" s="54">
        <f t="shared" si="31"/>
        <v>768</v>
      </c>
      <c r="D87" s="12">
        <f>AE86*Population!$Q$32*Population!$C$2+AG86*Population!$Q$34*Population!$C$2+AI86*Population!$Q$36*Population!$C$2+AK86*Population!$Q$38*Population!$C$2+AM86*Population!$Q$40*Population!$C$2+AO85*Population!$Q$42*Population!$C$2</f>
        <v>26.704638214757527</v>
      </c>
      <c r="E87" s="12">
        <f>IF(B86&gt;Population!$B$6*Population!$B$15,Population!$B$8,IF(Population!$J$6=1,D87,Population!$B$8*Population!$B$6*0.9/B86))</f>
        <v>23.761836638153017</v>
      </c>
      <c r="F87" s="12">
        <f>IF(B86&gt;Population!$B$6*0.75,Population!$B$8,E87)</f>
        <v>23.761836638153017</v>
      </c>
      <c r="G87" s="15">
        <f>IF(Population!$J$6=1,IF(E87&gt;H86,H86,E87),IF(E87&gt;X86,X86,E87))</f>
        <v>23.761836638153017</v>
      </c>
      <c r="H87" s="15">
        <f t="shared" si="33"/>
        <v>395</v>
      </c>
      <c r="I87" s="15">
        <f t="shared" si="34"/>
        <v>495</v>
      </c>
      <c r="J87" s="12">
        <f t="shared" si="28"/>
        <v>1.2531645569620253</v>
      </c>
      <c r="K87" s="12">
        <f>AB87*Population!$P$29+AC87*Population!$P$30+AD87*Population!$P$31+AE87*Population!$P$32+AF87*Population!$P$33+AG87*Population!$P$34+AH87*Population!$P$35+AI87*Population!$P$36+AJ87*Population!$P$37+AK87*Population!$P$38+AL87*Population!$P$37+AM87*Population!$P$38+AN87*Population!$P$39+AO87*Population!$P$40+AP87*Population!$P$41+AQ87*Population!$P$42+AR87*Population!$P$43+AS87*Population!$P$44</f>
        <v>4.7974961095655431</v>
      </c>
      <c r="L87" s="12">
        <f t="shared" si="35"/>
        <v>6.0156548451020295E-2</v>
      </c>
      <c r="M87" s="12">
        <f t="shared" si="36"/>
        <v>11.505100863982261</v>
      </c>
      <c r="N87" s="12">
        <f t="shared" si="29"/>
        <v>0.25621118012422361</v>
      </c>
      <c r="O87" s="12">
        <f t="shared" si="37"/>
        <v>740.63482021397454</v>
      </c>
      <c r="P87" s="12">
        <f t="shared" si="38"/>
        <v>207</v>
      </c>
      <c r="Q87" s="12">
        <f t="shared" si="39"/>
        <v>141.18258989301273</v>
      </c>
      <c r="R87" s="12">
        <f t="shared" si="40"/>
        <v>258.28589884494198</v>
      </c>
      <c r="S87" s="12">
        <f t="shared" si="41"/>
        <v>0.13422465721457813</v>
      </c>
      <c r="T87" s="12">
        <f t="shared" si="30"/>
        <v>0.88147491112155119</v>
      </c>
      <c r="U87" s="12">
        <f>Population!$B$13*MIN(Z86:AA86)</f>
        <v>11.87309159031507</v>
      </c>
      <c r="V87" s="12">
        <f>X86*Population!$B$14</f>
        <v>2.0878792288774894</v>
      </c>
      <c r="W87" s="12">
        <f>AO86*T86*Population!$B$12</f>
        <v>9.5824939480063804</v>
      </c>
      <c r="X87" s="12">
        <f t="shared" si="44"/>
        <v>348.18258989301273</v>
      </c>
      <c r="Y87" s="12">
        <f>IF(B86&lt;Vehicle!$B$1*0.75,Vehicle!$B$1*0.01,0)</f>
        <v>0</v>
      </c>
      <c r="Z87" s="14">
        <f t="shared" si="42"/>
        <v>47.670550018966821</v>
      </c>
      <c r="AA87" s="13">
        <f t="shared" si="43"/>
        <v>47.496552673254939</v>
      </c>
      <c r="AB87" s="18">
        <f>(G87+Population!$B$11*AB86)*Population!N$29</f>
        <v>165.86101464060394</v>
      </c>
      <c r="AC87" s="18">
        <f>AB86*Population!$B$12*Population!$N$29+AC86*Population!$B$11*Population!$N$30+Y87*Population!$L$30</f>
        <v>165.56702025700957</v>
      </c>
      <c r="AD87" s="14">
        <f>(AC86*Population!$B$12*0.5*Population!$N$30)+(AD86*Population!$B$11*Population!N$31)+Y87*Population!$L$31</f>
        <v>82.285326929842697</v>
      </c>
      <c r="AE87" s="13">
        <f>(AC86*Population!$B$12*0.5*Population!$N$30)+(AE86*Population!$B$11*Population!N$31)+Y87*Population!$L$32</f>
        <v>82.285326929842697</v>
      </c>
      <c r="AF87" s="14">
        <f>(AD86*Population!$B$12*Population!N$31)+(AF86*Population!$B$11*Population!N$33)+Y87*Population!$L$33</f>
        <v>81.704449496610664</v>
      </c>
      <c r="AG87" s="13">
        <f>(AE86*Population!$B$12*Population!N$31)+(AG86*Population!$B$11*Population!N$33)+Y87*Population!$L$34</f>
        <v>81.70437426747462</v>
      </c>
      <c r="AH87" s="14">
        <f>(AF86*Population!$B$12*Population!N$33)+(AH86*Population!$B$11*Population!N$35)+Y87*Population!$L$35</f>
        <v>80.597753214836615</v>
      </c>
      <c r="AI87" s="13">
        <f>(AG86*Population!$B$12*Population!N$33)+(AI86*Population!$B$11*Population!N$35)+Y87*Population!$L$36</f>
        <v>80.59669068399468</v>
      </c>
      <c r="AJ87" s="14">
        <f>(AH86*Population!$B$12*Population!N$35)+(AJ86*Population!$B$11*Population!N$37)+Y87*Population!$L$37</f>
        <v>79.309297432743932</v>
      </c>
      <c r="AK87" s="13">
        <f>(AI86*Population!$B$12*Population!N$35)+(AK86*Population!$B$11*Population!N$37)+Y87*Population!$L$38</f>
        <v>79.301671191594451</v>
      </c>
      <c r="AL87" s="14">
        <f>(AJ86*Population!$B$12*Population!N$37)+(AL86*Population!$B$11*Population!N$39)+Y87*Population!$L$39</f>
        <v>77.883368585623657</v>
      </c>
      <c r="AM87" s="13">
        <f>(AK86*Population!$B$12*Population!N$37)+(AM86*Population!$B$11*Population!N$39)+Y87*Population!$L$40</f>
        <v>77.847020118099493</v>
      </c>
      <c r="AN87" s="14">
        <f>(AL86*Population!$B$12*Population!N$39)+(AN86*Population!$B$11*Population!N$41)+Y87*Population!$L$41</f>
        <v>76.358271182164685</v>
      </c>
      <c r="AO87" s="13">
        <f>(AM86*Population!$B$12*Population!N$39)+(AO86*Population!$B$11*Population!N$41)+Y87*Population!$L$42</f>
        <v>76.229386305104484</v>
      </c>
      <c r="AP87" s="15">
        <f>(AN86+AO86)*Population!$B$12*Population!$N$41+AP86*Population!$B$11*Population!$N$43</f>
        <v>144.84239036117634</v>
      </c>
      <c r="AQ87" s="5">
        <f>AP86*Population!N$43*Population!$B$12+AQ86*Population!$B$11*Population!N$44</f>
        <v>136.89935145084226</v>
      </c>
      <c r="AR87" s="5">
        <f>AQ86*Population!N$44*Population!$B$12+AR86*Population!$B$11*Population!N$45</f>
        <v>103.90531824459187</v>
      </c>
      <c r="AS87" s="5">
        <f>(AR86*Population!$B$12+AS86)*Population!N$46</f>
        <v>259.32203773856497</v>
      </c>
    </row>
    <row r="88" spans="1:45">
      <c r="A88">
        <f>A87+Population!$B$2</f>
        <v>85</v>
      </c>
      <c r="B88" s="4">
        <f t="shared" si="32"/>
        <v>1934</v>
      </c>
      <c r="C88" s="54">
        <f t="shared" si="31"/>
        <v>767</v>
      </c>
      <c r="D88" s="12">
        <f>AE87*Population!$Q$32*Population!$C$2+AG87*Population!$Q$34*Population!$C$2+AI87*Population!$Q$36*Population!$C$2+AK87*Population!$Q$38*Population!$C$2+AM87*Population!$Q$40*Population!$C$2+AO86*Population!$Q$42*Population!$C$2</f>
        <v>26.714122318456191</v>
      </c>
      <c r="E88" s="12">
        <f>IF(B87&gt;Population!$B$6*Population!$B$15,Population!$B$8,IF(Population!$J$6=1,D88,Population!$B$8*Population!$B$6*0.9/B87))</f>
        <v>23.761836638153017</v>
      </c>
      <c r="F88" s="12">
        <f>IF(B87&gt;Population!$B$6*0.75,Population!$B$8,E88)</f>
        <v>23.761836638153017</v>
      </c>
      <c r="G88" s="15">
        <f>IF(Population!$J$6=1,IF(E88&gt;H87,H87,E88),IF(E88&gt;X87,X87,E88))</f>
        <v>23.761836638153017</v>
      </c>
      <c r="H88" s="15">
        <f t="shared" si="33"/>
        <v>395</v>
      </c>
      <c r="I88" s="15">
        <f t="shared" si="34"/>
        <v>496</v>
      </c>
      <c r="J88" s="12">
        <f t="shared" si="28"/>
        <v>1.2556962025316456</v>
      </c>
      <c r="K88" s="12">
        <f>AB88*Population!$P$29+AC88*Population!$P$30+AD88*Population!$P$31+AE88*Population!$P$32+AF88*Population!$P$33+AG88*Population!$P$34+AH88*Population!$P$35+AI88*Population!$P$36+AJ88*Population!$P$37+AK88*Population!$P$38+AL88*Population!$P$37+AM88*Population!$P$38+AN88*Population!$P$39+AO88*Population!$P$40+AP88*Population!$P$41+AQ88*Population!$P$42+AR88*Population!$P$43+AS88*Population!$P$44</f>
        <v>4.806492998175953</v>
      </c>
      <c r="L88" s="12">
        <f t="shared" si="35"/>
        <v>6.0156548451020295E-2</v>
      </c>
      <c r="M88" s="12">
        <f t="shared" si="36"/>
        <v>11.507546773690887</v>
      </c>
      <c r="N88" s="12">
        <f t="shared" si="29"/>
        <v>0.25646328852119959</v>
      </c>
      <c r="O88" s="12">
        <f t="shared" si="37"/>
        <v>741.26310396124677</v>
      </c>
      <c r="P88" s="12">
        <f t="shared" si="38"/>
        <v>207</v>
      </c>
      <c r="Q88" s="12">
        <f t="shared" si="39"/>
        <v>141.36844801937661</v>
      </c>
      <c r="R88" s="12">
        <f t="shared" si="40"/>
        <v>259.32203773856497</v>
      </c>
      <c r="S88" s="12">
        <f t="shared" si="41"/>
        <v>0.13459917567668517</v>
      </c>
      <c r="T88" s="12">
        <f t="shared" si="30"/>
        <v>0.88194543802373826</v>
      </c>
      <c r="U88" s="12">
        <f>Population!$B$13*MIN(Z87:AA87)</f>
        <v>11.874138168313735</v>
      </c>
      <c r="V88" s="12">
        <f>X87*Population!$B$14</f>
        <v>2.0890955393580763</v>
      </c>
      <c r="W88" s="12">
        <f>AO87*T87*Population!$B$12</f>
        <v>9.5991845025917666</v>
      </c>
      <c r="X88" s="12">
        <f t="shared" si="44"/>
        <v>348.36844801937661</v>
      </c>
      <c r="Y88" s="12">
        <f>IF(B87&lt;Vehicle!$B$1*0.75,Vehicle!$B$1*0.01,0)</f>
        <v>0</v>
      </c>
      <c r="Z88" s="14">
        <f t="shared" si="42"/>
        <v>47.660125739747173</v>
      </c>
      <c r="AA88" s="13">
        <f t="shared" si="43"/>
        <v>47.504839170206196</v>
      </c>
      <c r="AB88" s="18">
        <f>(G88+Population!$B$11*AB87)*Population!N$29</f>
        <v>165.86105367704354</v>
      </c>
      <c r="AC88" s="18">
        <f>AB87*Population!$B$12*Population!$N$29+AC87*Population!$B$11*Population!$N$30+Y88*Population!$L$30</f>
        <v>165.56746873333861</v>
      </c>
      <c r="AD88" s="14">
        <f>(AC87*Population!$B$12*0.5*Population!$N$30)+(AD87*Population!$B$11*Population!N$31)+Y88*Population!$L$31</f>
        <v>82.286619702628172</v>
      </c>
      <c r="AE88" s="13">
        <f>(AC87*Population!$B$12*0.5*Population!$N$30)+(AE87*Population!$B$11*Population!N$31)+Y88*Population!$L$32</f>
        <v>82.286619702628172</v>
      </c>
      <c r="AF88" s="14">
        <f>(AD87*Population!$B$12*Population!N$31)+(AF87*Population!$B$11*Population!N$33)+Y88*Population!$L$33</f>
        <v>81.709488564388707</v>
      </c>
      <c r="AG88" s="13">
        <f>(AE87*Population!$B$12*Population!N$31)+(AG87*Population!$B$11*Population!N$33)+Y88*Population!$L$34</f>
        <v>81.709424143723552</v>
      </c>
      <c r="AH88" s="14">
        <f>(AF87*Population!$B$12*Population!N$33)+(AH87*Population!$B$11*Population!N$35)+Y88*Population!$L$35</f>
        <v>80.612088332603605</v>
      </c>
      <c r="AI88" s="13">
        <f>(AG87*Population!$B$12*Population!N$33)+(AI87*Population!$B$11*Population!N$35)+Y88*Population!$L$36</f>
        <v>80.611168603726597</v>
      </c>
      <c r="AJ88" s="14">
        <f>(AH87*Population!$B$12*Population!N$35)+(AJ87*Population!$B$11*Population!N$37)+Y88*Population!$L$37</f>
        <v>79.340735288386085</v>
      </c>
      <c r="AK88" s="13">
        <f>(AI87*Population!$B$12*Population!N$35)+(AK87*Population!$B$11*Population!N$37)+Y88*Population!$L$38</f>
        <v>79.334059562188713</v>
      </c>
      <c r="AL88" s="14">
        <f>(AJ87*Population!$B$12*Population!N$37)+(AL87*Population!$B$11*Population!N$39)+Y88*Population!$L$39</f>
        <v>77.937145527044095</v>
      </c>
      <c r="AM88" s="13">
        <f>(AK87*Population!$B$12*Population!N$37)+(AM87*Population!$B$11*Population!N$39)+Y88*Population!$L$40</f>
        <v>77.904962145677572</v>
      </c>
      <c r="AN88" s="14">
        <f>(AL87*Population!$B$12*Population!N$39)+(AN87*Population!$B$11*Population!N$41)+Y88*Population!$L$41</f>
        <v>76.429116046701267</v>
      </c>
      <c r="AO88" s="13">
        <f>(AM87*Population!$B$12*Population!N$39)+(AO87*Population!$B$11*Population!N$41)+Y88*Population!$L$42</f>
        <v>76.31367273426639</v>
      </c>
      <c r="AP88" s="15">
        <f>(AN87+AO87)*Population!$B$12*Population!$N$41+AP87*Population!$B$11*Population!$N$43</f>
        <v>145.00691248160581</v>
      </c>
      <c r="AQ88" s="5">
        <f>AP87*Population!N$43*Population!$B$12+AQ87*Population!$B$11*Population!N$44</f>
        <v>137.0333242782857</v>
      </c>
      <c r="AR88" s="5">
        <f>AQ87*Population!N$44*Population!$B$12+AR87*Population!$B$11*Population!N$45</f>
        <v>103.97756579343918</v>
      </c>
      <c r="AS88" s="5">
        <f>(AR87*Population!$B$12+AS87)*Population!N$46</f>
        <v>260.3148057587091</v>
      </c>
    </row>
    <row r="89" spans="1:45">
      <c r="A89">
        <f>A88+Population!$B$2</f>
        <v>86</v>
      </c>
      <c r="B89" s="4">
        <f t="shared" si="32"/>
        <v>1935</v>
      </c>
      <c r="C89" s="54">
        <f t="shared" si="31"/>
        <v>767</v>
      </c>
      <c r="D89" s="12">
        <f>AE88*Population!$Q$32*Population!$C$2+AG88*Population!$Q$34*Population!$C$2+AI88*Population!$Q$36*Population!$C$2+AK88*Population!$Q$38*Population!$C$2+AM88*Population!$Q$40*Population!$C$2+AO87*Population!$Q$42*Population!$C$2</f>
        <v>26.722944944752438</v>
      </c>
      <c r="E89" s="12">
        <f>IF(B88&gt;Population!$B$6*Population!$B$15,Population!$B$8,IF(Population!$J$6=1,D89,Population!$B$8*Population!$B$6*0.9/B88))</f>
        <v>23.761836638153017</v>
      </c>
      <c r="F89" s="12">
        <f>IF(B88&gt;Population!$B$6*0.75,Population!$B$8,E89)</f>
        <v>23.761836638153017</v>
      </c>
      <c r="G89" s="15">
        <f>IF(Population!$J$6=1,IF(E89&gt;H88,H88,E89),IF(E89&gt;X88,X88,E89))</f>
        <v>23.761836638153017</v>
      </c>
      <c r="H89" s="15">
        <f t="shared" si="33"/>
        <v>396</v>
      </c>
      <c r="I89" s="15">
        <f t="shared" si="34"/>
        <v>496</v>
      </c>
      <c r="J89" s="12">
        <f t="shared" si="28"/>
        <v>1.2525252525252526</v>
      </c>
      <c r="K89" s="12">
        <f>AB89*Population!$P$29+AC89*Population!$P$30+AD89*Population!$P$31+AE89*Population!$P$32+AF89*Population!$P$33+AG89*Population!$P$34+AH89*Population!$P$35+AI89*Population!$P$36+AJ89*Population!$P$37+AK89*Population!$P$38+AL89*Population!$P$37+AM89*Population!$P$38+AN89*Population!$P$39+AO89*Population!$P$40+AP89*Population!$P$41+AQ89*Population!$P$42+AR89*Population!$P$43+AS89*Population!$P$44</f>
        <v>4.8151970208920005</v>
      </c>
      <c r="L89" s="12">
        <f t="shared" si="35"/>
        <v>6.0004637975133883E-2</v>
      </c>
      <c r="M89" s="12">
        <f t="shared" si="36"/>
        <v>11.509780326347181</v>
      </c>
      <c r="N89" s="12">
        <f t="shared" si="29"/>
        <v>0.25633074935400518</v>
      </c>
      <c r="O89" s="12">
        <f t="shared" si="37"/>
        <v>741.92096161718268</v>
      </c>
      <c r="P89" s="12">
        <f t="shared" si="38"/>
        <v>207</v>
      </c>
      <c r="Q89" s="12">
        <f t="shared" si="39"/>
        <v>141.53951919140866</v>
      </c>
      <c r="R89" s="12">
        <f t="shared" si="40"/>
        <v>260.3148057587091</v>
      </c>
      <c r="S89" s="12">
        <f t="shared" si="41"/>
        <v>0.13502181849922543</v>
      </c>
      <c r="T89" s="12">
        <f t="shared" si="30"/>
        <v>0.88015030098840574</v>
      </c>
      <c r="U89" s="12">
        <f>Population!$B$13*MIN(Z88:AA88)</f>
        <v>11.876209792551549</v>
      </c>
      <c r="V89" s="12">
        <f>X88*Population!$B$14</f>
        <v>2.0902106881162599</v>
      </c>
      <c r="W89" s="12">
        <f>AO88*T88*Population!$B$12</f>
        <v>9.6149279324032531</v>
      </c>
      <c r="X89" s="12">
        <f t="shared" si="44"/>
        <v>348.53951919140866</v>
      </c>
      <c r="Y89" s="12">
        <f>IF(B88&lt;Vehicle!$B$1*0.75,Vehicle!$B$1*0.01,0)</f>
        <v>0</v>
      </c>
      <c r="Z89" s="14">
        <f t="shared" si="42"/>
        <v>47.654239697276523</v>
      </c>
      <c r="AA89" s="13">
        <f t="shared" si="43"/>
        <v>47.515711452979303</v>
      </c>
      <c r="AB89" s="18">
        <f>(G89+Population!$B$11*AB88)*Population!N$29</f>
        <v>165.86108712326421</v>
      </c>
      <c r="AC89" s="18">
        <f>AB88*Population!$B$12*Population!$N$29+AC88*Population!$B$11*Population!$N$30+Y89*Population!$L$30</f>
        <v>165.56785862949891</v>
      </c>
      <c r="AD89" s="14">
        <f>(AC88*Population!$B$12*0.5*Population!$N$30)+(AD88*Population!$B$11*Population!N$31)+Y89*Population!$L$31</f>
        <v>82.287758764392322</v>
      </c>
      <c r="AE89" s="13">
        <f>(AC88*Population!$B$12*0.5*Population!$N$30)+(AE88*Population!$B$11*Population!N$31)+Y89*Population!$L$32</f>
        <v>82.287758764392322</v>
      </c>
      <c r="AF89" s="14">
        <f>(AD88*Population!$B$12*Population!N$31)+(AF88*Population!$B$11*Population!N$33)+Y89*Population!$L$33</f>
        <v>81.713988154967524</v>
      </c>
      <c r="AG89" s="13">
        <f>(AE88*Population!$B$12*Population!N$31)+(AG88*Population!$B$11*Population!N$33)+Y89*Population!$L$34</f>
        <v>81.713932989877023</v>
      </c>
      <c r="AH89" s="14">
        <f>(AF88*Population!$B$12*Population!N$33)+(AH88*Population!$B$11*Population!N$35)+Y89*Population!$L$35</f>
        <v>80.625071165688141</v>
      </c>
      <c r="AI89" s="13">
        <f>(AG88*Population!$B$12*Population!N$33)+(AI88*Population!$B$11*Population!N$35)+Y89*Population!$L$36</f>
        <v>80.624275146079896</v>
      </c>
      <c r="AJ89" s="14">
        <f>(AH88*Population!$B$12*Population!N$35)+(AJ88*Population!$B$11*Population!N$37)+Y89*Population!$L$37</f>
        <v>79.369674226114199</v>
      </c>
      <c r="AK89" s="13">
        <f>(AI88*Population!$B$12*Population!N$35)+(AK88*Population!$B$11*Population!N$37)+Y89*Population!$L$38</f>
        <v>79.363832023854769</v>
      </c>
      <c r="AL89" s="14">
        <f>(AJ88*Population!$B$12*Population!N$37)+(AL88*Population!$B$11*Population!N$39)+Y89*Population!$L$39</f>
        <v>77.987634046060762</v>
      </c>
      <c r="AM89" s="13">
        <f>(AK88*Population!$B$12*Population!N$37)+(AM88*Population!$B$11*Population!N$39)+Y89*Population!$L$40</f>
        <v>77.959149411139506</v>
      </c>
      <c r="AN89" s="14">
        <f>(AL88*Population!$B$12*Population!N$39)+(AN88*Population!$B$11*Population!N$41)+Y89*Population!$L$41</f>
        <v>76.497391295854541</v>
      </c>
      <c r="AO89" s="13">
        <f>(AM88*Population!$B$12*Population!N$39)+(AO88*Population!$B$11*Population!N$41)+Y89*Population!$L$42</f>
        <v>76.394041073436782</v>
      </c>
      <c r="AP89" s="15">
        <f>(AN88+AO88)*Population!$B$12*Population!$N$41+AP88*Population!$B$11*Population!$N$43</f>
        <v>145.16902811759905</v>
      </c>
      <c r="AQ89" s="5">
        <f>AP88*Population!N$43*Population!$B$12+AQ88*Population!$B$11*Population!N$44</f>
        <v>137.17065834710328</v>
      </c>
      <c r="AR89" s="5">
        <f>AQ88*Population!N$44*Population!$B$12+AR88*Population!$B$11*Population!N$45</f>
        <v>104.05536395637085</v>
      </c>
      <c r="AS89" s="5">
        <f>(AR88*Population!$B$12+AS88)*Population!N$46</f>
        <v>261.2672187960012</v>
      </c>
    </row>
    <row r="90" spans="1:45">
      <c r="A90">
        <f>A89+Population!$B$2</f>
        <v>87</v>
      </c>
      <c r="B90" s="4">
        <f t="shared" si="32"/>
        <v>1937</v>
      </c>
      <c r="C90" s="54">
        <f t="shared" si="31"/>
        <v>768</v>
      </c>
      <c r="D90" s="12">
        <f>AE89*Population!$Q$32*Population!$C$2+AG89*Population!$Q$34*Population!$C$2+AI89*Population!$Q$36*Population!$C$2+AK89*Population!$Q$38*Population!$C$2+AM89*Population!$Q$40*Population!$C$2+AO88*Population!$Q$42*Population!$C$2</f>
        <v>26.731144481452908</v>
      </c>
      <c r="E90" s="12">
        <f>IF(B89&gt;Population!$B$6*Population!$B$15,Population!$B$8,IF(Population!$J$6=1,D90,Population!$B$8*Population!$B$6*0.9/B89))</f>
        <v>23.761836638153017</v>
      </c>
      <c r="F90" s="12">
        <f>IF(B89&gt;Population!$B$6*0.75,Population!$B$8,E90)</f>
        <v>23.761836638153017</v>
      </c>
      <c r="G90" s="15">
        <f>IF(Population!$J$6=1,IF(E90&gt;H89,H89,E90),IF(E90&gt;X89,X89,E90))</f>
        <v>23.761836638153017</v>
      </c>
      <c r="H90" s="15">
        <f t="shared" si="33"/>
        <v>396</v>
      </c>
      <c r="I90" s="15">
        <f t="shared" si="34"/>
        <v>496</v>
      </c>
      <c r="J90" s="12">
        <f t="shared" si="28"/>
        <v>1.2525252525252526</v>
      </c>
      <c r="K90" s="12">
        <f>AB90*Population!$P$29+AC90*Population!$P$30+AD90*Population!$P$31+AE90*Population!$P$32+AF90*Population!$P$33+AG90*Population!$P$34+AH90*Population!$P$35+AI90*Population!$P$36+AJ90*Population!$P$37+AK90*Population!$P$38+AL90*Population!$P$37+AM90*Population!$P$38+AN90*Population!$P$39+AO90*Population!$P$40+AP90*Population!$P$41+AQ90*Population!$P$42+AR90*Population!$P$43+AS90*Population!$P$44</f>
        <v>4.8236233779814812</v>
      </c>
      <c r="L90" s="12">
        <f t="shared" si="35"/>
        <v>6.0004637975133883E-2</v>
      </c>
      <c r="M90" s="12">
        <f t="shared" si="36"/>
        <v>11.511818224109845</v>
      </c>
      <c r="N90" s="12">
        <f t="shared" si="29"/>
        <v>0.25606608156943728</v>
      </c>
      <c r="O90" s="12">
        <f t="shared" si="37"/>
        <v>743.5565053337059</v>
      </c>
      <c r="P90" s="12">
        <f t="shared" si="38"/>
        <v>207</v>
      </c>
      <c r="Q90" s="12">
        <f t="shared" si="39"/>
        <v>141.72174733314705</v>
      </c>
      <c r="R90" s="12">
        <f t="shared" si="40"/>
        <v>261.2672187960012</v>
      </c>
      <c r="S90" s="12">
        <f t="shared" si="41"/>
        <v>0.1353547075216672</v>
      </c>
      <c r="T90" s="12">
        <f t="shared" si="30"/>
        <v>0.8806104730635026</v>
      </c>
      <c r="U90" s="12">
        <f>Population!$B$13*MIN(Z89:AA89)</f>
        <v>11.878927863244826</v>
      </c>
      <c r="V90" s="12">
        <f>X89*Population!$B$14</f>
        <v>2.0912371151484521</v>
      </c>
      <c r="W90" s="12">
        <f>AO89*T89*Population!$B$12</f>
        <v>9.6054626063580013</v>
      </c>
      <c r="X90" s="12">
        <f t="shared" si="44"/>
        <v>348.72174733314705</v>
      </c>
      <c r="Y90" s="12">
        <f>IF(B89&lt;Vehicle!$B$1*0.75,Vehicle!$B$1*0.01,0)</f>
        <v>0</v>
      </c>
      <c r="Z90" s="14">
        <f t="shared" si="42"/>
        <v>47.627311568692505</v>
      </c>
      <c r="AA90" s="13">
        <f t="shared" si="43"/>
        <v>47.503785215278356</v>
      </c>
      <c r="AB90" s="18">
        <f>(G90+Population!$B$11*AB89)*Population!N$29</f>
        <v>165.8611157798141</v>
      </c>
      <c r="AC90" s="18">
        <f>AB89*Population!$B$12*Population!$N$29+AC89*Population!$B$11*Population!$N$30+Y90*Population!$L$30</f>
        <v>165.56819752710513</v>
      </c>
      <c r="AD90" s="14">
        <f>(AC89*Population!$B$12*0.5*Population!$N$30)+(AD89*Population!$B$11*Population!N$31)+Y90*Population!$L$31</f>
        <v>82.288762016056111</v>
      </c>
      <c r="AE90" s="13">
        <f>(AC89*Population!$B$12*0.5*Population!$N$30)+(AE89*Population!$B$11*Population!N$31)+Y90*Population!$L$32</f>
        <v>82.288762016056111</v>
      </c>
      <c r="AF90" s="14">
        <f>(AD89*Population!$B$12*Population!N$31)+(AF89*Population!$B$11*Population!N$33)+Y90*Population!$L$33</f>
        <v>81.718003839403565</v>
      </c>
      <c r="AG90" s="13">
        <f>(AE89*Population!$B$12*Population!N$31)+(AG89*Population!$B$11*Population!N$33)+Y90*Population!$L$34</f>
        <v>81.717956600102283</v>
      </c>
      <c r="AH90" s="14">
        <f>(AF89*Population!$B$12*Population!N$33)+(AH89*Population!$B$11*Population!N$35)+Y90*Population!$L$35</f>
        <v>80.636820128365144</v>
      </c>
      <c r="AI90" s="13">
        <f>(AG89*Population!$B$12*Population!N$33)+(AI89*Population!$B$11*Population!N$35)+Y90*Population!$L$36</f>
        <v>80.636131262647737</v>
      </c>
      <c r="AJ90" s="14">
        <f>(AH89*Population!$B$12*Population!N$35)+(AJ89*Population!$B$11*Population!N$37)+Y90*Population!$L$37</f>
        <v>79.396282534092919</v>
      </c>
      <c r="AK90" s="13">
        <f>(AI89*Population!$B$12*Population!N$35)+(AK89*Population!$B$11*Population!N$37)+Y90*Population!$L$38</f>
        <v>79.391171048001894</v>
      </c>
      <c r="AL90" s="14">
        <f>(AJ89*Population!$B$12*Population!N$37)+(AL89*Population!$B$11*Population!N$39)+Y90*Population!$L$39</f>
        <v>78.034953026250577</v>
      </c>
      <c r="AM90" s="13">
        <f>(AK89*Population!$B$12*Population!N$37)+(AM89*Population!$B$11*Population!N$39)+Y90*Population!$L$40</f>
        <v>78.009751504569948</v>
      </c>
      <c r="AN90" s="14">
        <f>(AL89*Population!$B$12*Population!N$39)+(AN89*Population!$B$11*Population!N$41)+Y90*Population!$L$41</f>
        <v>76.562999373727337</v>
      </c>
      <c r="AO90" s="13">
        <f>(AM89*Population!$B$12*Population!N$39)+(AO89*Population!$B$11*Population!N$41)+Y90*Population!$L$42</f>
        <v>76.470522133103543</v>
      </c>
      <c r="AP90" s="15">
        <f>(AN89+AO89)*Population!$B$12*Population!$N$41+AP89*Population!$B$11*Population!$N$43</f>
        <v>145.32817097166017</v>
      </c>
      <c r="AQ90" s="5">
        <f>AP89*Population!N$43*Population!$B$12+AQ89*Population!$B$11*Population!N$44</f>
        <v>137.31051130118104</v>
      </c>
      <c r="AR90" s="5">
        <f>AQ89*Population!N$44*Population!$B$12+AR89*Population!$B$11*Population!N$45</f>
        <v>104.1381561271224</v>
      </c>
      <c r="AS90" s="5">
        <f>(AR89*Population!$B$12+AS89)*Population!N$46</f>
        <v>262.18206846946936</v>
      </c>
    </row>
    <row r="91" spans="1:45">
      <c r="A91">
        <f>A90+Population!$B$2</f>
        <v>88</v>
      </c>
      <c r="B91" s="4">
        <f t="shared" si="32"/>
        <v>1939</v>
      </c>
      <c r="C91" s="54">
        <f t="shared" si="31"/>
        <v>769</v>
      </c>
      <c r="D91" s="12">
        <f>AE90*Population!$Q$32*Population!$C$2+AG90*Population!$Q$34*Population!$C$2+AI90*Population!$Q$36*Population!$C$2+AK90*Population!$Q$38*Population!$C$2+AM90*Population!$Q$40*Population!$C$2+AO89*Population!$Q$42*Population!$C$2</f>
        <v>26.738757913101036</v>
      </c>
      <c r="E91" s="12">
        <f>IF(B90&gt;Population!$B$6*Population!$B$15,Population!$B$8,IF(Population!$J$6=1,D91,Population!$B$8*Population!$B$6*0.9/B90))</f>
        <v>23.761836638153017</v>
      </c>
      <c r="F91" s="12">
        <f>IF(B90&gt;Population!$B$6*0.75,Population!$B$8,E91)</f>
        <v>23.761836638153017</v>
      </c>
      <c r="G91" s="15">
        <f>IF(Population!$J$6=1,IF(E91&gt;H90,H90,E91),IF(E91&gt;X90,X90,E91))</f>
        <v>23.761836638153017</v>
      </c>
      <c r="H91" s="15">
        <f t="shared" si="33"/>
        <v>396</v>
      </c>
      <c r="I91" s="15">
        <f t="shared" si="34"/>
        <v>496</v>
      </c>
      <c r="J91" s="12">
        <f t="shared" si="28"/>
        <v>1.2525252525252526</v>
      </c>
      <c r="K91" s="12">
        <f>AB91*Population!$P$29+AC91*Population!$P$30+AD91*Population!$P$31+AE91*Population!$P$32+AF91*Population!$P$33+AG91*Population!$P$34+AH91*Population!$P$35+AI91*Population!$P$36+AJ91*Population!$P$37+AK91*Population!$P$38+AL91*Population!$P$37+AM91*Population!$P$38+AN91*Population!$P$39+AO91*Population!$P$40+AP91*Population!$P$41+AQ91*Population!$P$42+AR91*Population!$P$43+AS91*Population!$P$44</f>
        <v>4.8317858469689003</v>
      </c>
      <c r="L91" s="12">
        <f t="shared" si="35"/>
        <v>6.0004637975133883E-2</v>
      </c>
      <c r="M91" s="12">
        <f t="shared" si="36"/>
        <v>11.513676070523323</v>
      </c>
      <c r="N91" s="12">
        <f t="shared" si="29"/>
        <v>0.2558019597730789</v>
      </c>
      <c r="O91" s="12">
        <f t="shared" si="37"/>
        <v>745.22948588579163</v>
      </c>
      <c r="P91" s="12">
        <f t="shared" si="38"/>
        <v>207</v>
      </c>
      <c r="Q91" s="12">
        <f t="shared" si="39"/>
        <v>141.88525705710418</v>
      </c>
      <c r="R91" s="12">
        <f t="shared" si="40"/>
        <v>262.18206846946936</v>
      </c>
      <c r="S91" s="12">
        <f t="shared" si="41"/>
        <v>0.13566886532618599</v>
      </c>
      <c r="T91" s="12">
        <f t="shared" si="30"/>
        <v>0.88102337640682871</v>
      </c>
      <c r="U91" s="12">
        <f>Population!$B$13*MIN(Z90:AA90)</f>
        <v>11.875946303819589</v>
      </c>
      <c r="V91" s="12">
        <f>X90*Population!$B$14</f>
        <v>2.0923304839988823</v>
      </c>
      <c r="W91" s="12">
        <f>AO90*T90*Population!$B$12</f>
        <v>9.6201060958636226</v>
      </c>
      <c r="X91" s="12">
        <f t="shared" si="44"/>
        <v>348.88525705710418</v>
      </c>
      <c r="Y91" s="12">
        <f>IF(B90&lt;Vehicle!$B$1*0.75,Vehicle!$B$1*0.01,0)</f>
        <v>0</v>
      </c>
      <c r="Z91" s="14">
        <f t="shared" si="42"/>
        <v>47.609596162917228</v>
      </c>
      <c r="AA91" s="13">
        <f t="shared" si="43"/>
        <v>47.499492603610122</v>
      </c>
      <c r="AB91" s="18">
        <f>(G91+Population!$B$11*AB90)*Population!N$29</f>
        <v>165.86114033259867</v>
      </c>
      <c r="AC91" s="18">
        <f>AB90*Population!$B$12*Population!$N$29+AC90*Population!$B$11*Population!$N$30+Y91*Population!$L$30</f>
        <v>165.56849203753953</v>
      </c>
      <c r="AD91" s="14">
        <f>(AC90*Population!$B$12*0.5*Population!$N$30)+(AD90*Population!$B$11*Population!N$31)+Y91*Population!$L$31</f>
        <v>82.289645328065674</v>
      </c>
      <c r="AE91" s="13">
        <f>(AC90*Population!$B$12*0.5*Population!$N$30)+(AE90*Population!$B$11*Population!N$31)+Y91*Population!$L$32</f>
        <v>82.289645328065674</v>
      </c>
      <c r="AF91" s="14">
        <f>(AD90*Population!$B$12*Population!N$31)+(AF90*Population!$B$11*Population!N$33)+Y91*Population!$L$33</f>
        <v>81.72158575947465</v>
      </c>
      <c r="AG91" s="13">
        <f>(AE90*Population!$B$12*Population!N$31)+(AG90*Population!$B$11*Population!N$33)+Y91*Population!$L$34</f>
        <v>81.721545307232745</v>
      </c>
      <c r="AH91" s="14">
        <f>(AF90*Population!$B$12*Population!N$33)+(AH90*Population!$B$11*Population!N$35)+Y91*Population!$L$35</f>
        <v>80.647444454865251</v>
      </c>
      <c r="AI91" s="13">
        <f>(AG90*Population!$B$12*Population!N$33)+(AI90*Population!$B$11*Population!N$35)+Y91*Population!$L$36</f>
        <v>80.646848390171868</v>
      </c>
      <c r="AJ91" s="14">
        <f>(AH90*Population!$B$12*Population!N$35)+(AJ90*Population!$B$11*Population!N$37)+Y91*Population!$L$37</f>
        <v>79.420721066211925</v>
      </c>
      <c r="AK91" s="13">
        <f>(AI90*Population!$B$12*Population!N$35)+(AK90*Population!$B$11*Population!N$37)+Y91*Population!$L$38</f>
        <v>79.416249984023111</v>
      </c>
      <c r="AL91" s="14">
        <f>(AJ90*Population!$B$12*Population!N$37)+(AL90*Population!$B$11*Population!N$39)+Y91*Population!$L$39</f>
        <v>78.079228167181228</v>
      </c>
      <c r="AM91" s="13">
        <f>(AK90*Population!$B$12*Population!N$37)+(AM90*Population!$B$11*Population!N$39)+Y91*Population!$L$40</f>
        <v>78.056939527096674</v>
      </c>
      <c r="AN91" s="14">
        <f>(AL90*Population!$B$12*Population!N$39)+(AN90*Population!$B$11*Population!N$41)+Y91*Population!$L$41</f>
        <v>76.625873772288415</v>
      </c>
      <c r="AO91" s="13">
        <f>(AM90*Population!$B$12*Population!N$39)+(AO90*Population!$B$11*Population!N$41)+Y91*Population!$L$42</f>
        <v>76.543166452189865</v>
      </c>
      <c r="AP91" s="15">
        <f>(AN90+AO90)*Population!$B$12*Population!$N$41+AP90*Population!$B$11*Population!$N$43</f>
        <v>145.4838496483188</v>
      </c>
      <c r="AQ91" s="5">
        <f>AP90*Population!N$43*Population!$B$12+AQ90*Population!$B$11*Population!N$44</f>
        <v>137.45208604251437</v>
      </c>
      <c r="AR91" s="5">
        <f>AQ90*Population!N$44*Population!$B$12+AR90*Population!$B$11*Population!N$45</f>
        <v>104.22536985310407</v>
      </c>
      <c r="AS91" s="5">
        <f>(AR90*Population!$B$12+AS90)*Population!N$46</f>
        <v>263.06192986747465</v>
      </c>
    </row>
    <row r="92" spans="1:45">
      <c r="A92">
        <f>A91+Population!$B$2</f>
        <v>89</v>
      </c>
      <c r="B92" s="4">
        <f t="shared" si="32"/>
        <v>1940</v>
      </c>
      <c r="C92" s="54">
        <f t="shared" si="31"/>
        <v>768</v>
      </c>
      <c r="D92" s="12">
        <f>AE91*Population!$Q$32*Population!$C$2+AG91*Population!$Q$34*Population!$C$2+AI91*Population!$Q$36*Population!$C$2+AK91*Population!$Q$38*Population!$C$2+AM91*Population!$Q$40*Population!$C$2+AO90*Population!$Q$42*Population!$C$2</f>
        <v>26.745820776048237</v>
      </c>
      <c r="E92" s="12">
        <f>IF(B91&gt;Population!$B$6*Population!$B$15,Population!$B$8,IF(Population!$J$6=1,D92,Population!$B$8*Population!$B$6*0.9/B91))</f>
        <v>23.761836638153017</v>
      </c>
      <c r="F92" s="12">
        <f>IF(B91&gt;Population!$B$6*0.75,Population!$B$8,E92)</f>
        <v>23.761836638153017</v>
      </c>
      <c r="G92" s="15">
        <f>IF(Population!$J$6=1,IF(E92&gt;H91,H91,E92),IF(E92&gt;X91,X91,E92))</f>
        <v>23.761836638153017</v>
      </c>
      <c r="H92" s="15">
        <f t="shared" si="33"/>
        <v>396</v>
      </c>
      <c r="I92" s="15">
        <f t="shared" si="34"/>
        <v>496</v>
      </c>
      <c r="J92" s="12">
        <f t="shared" si="28"/>
        <v>1.2525252525252526</v>
      </c>
      <c r="K92" s="12">
        <f>AB92*Population!$P$29+AC92*Population!$P$30+AD92*Population!$P$31+AE92*Population!$P$32+AF92*Population!$P$33+AG92*Population!$P$34+AH92*Population!$P$35+AI92*Population!$P$36+AJ92*Population!$P$37+AK92*Population!$P$38+AL92*Population!$P$37+AM92*Population!$P$38+AN92*Population!$P$39+AO92*Population!$P$40+AP92*Population!$P$41+AQ92*Population!$P$42+AR92*Population!$P$43+AS92*Population!$P$44</f>
        <v>4.8396968986113027</v>
      </c>
      <c r="L92" s="12">
        <f t="shared" si="35"/>
        <v>6.0004637975133883E-2</v>
      </c>
      <c r="M92" s="12">
        <f t="shared" si="36"/>
        <v>11.515368414782571</v>
      </c>
      <c r="N92" s="12">
        <f t="shared" si="29"/>
        <v>0.25567010309278349</v>
      </c>
      <c r="O92" s="12">
        <f t="shared" si="37"/>
        <v>745.93388236826559</v>
      </c>
      <c r="P92" s="12">
        <f t="shared" si="38"/>
        <v>207</v>
      </c>
      <c r="Q92" s="12">
        <f t="shared" si="39"/>
        <v>142.03305881586721</v>
      </c>
      <c r="R92" s="12">
        <f t="shared" si="40"/>
        <v>263.06192986747465</v>
      </c>
      <c r="S92" s="12">
        <f t="shared" si="41"/>
        <v>0.13603565481311589</v>
      </c>
      <c r="T92" s="12">
        <f t="shared" si="30"/>
        <v>0.88139661317138185</v>
      </c>
      <c r="U92" s="12">
        <f>Population!$B$13*MIN(Z91:AA91)</f>
        <v>11.87487315090253</v>
      </c>
      <c r="V92" s="12">
        <f>X91*Population!$B$14</f>
        <v>2.093311542342625</v>
      </c>
      <c r="W92" s="12">
        <f>AO91*T91*Population!$B$12</f>
        <v>9.6337598497968884</v>
      </c>
      <c r="X92" s="12">
        <f t="shared" si="44"/>
        <v>349.03305881586721</v>
      </c>
      <c r="Y92" s="12">
        <f>IF(B91&lt;Vehicle!$B$1*0.75,Vehicle!$B$1*0.01,0)</f>
        <v>0</v>
      </c>
      <c r="Z92" s="14">
        <f t="shared" si="42"/>
        <v>47.598473516747276</v>
      </c>
      <c r="AA92" s="13">
        <f t="shared" si="43"/>
        <v>47.500373963162929</v>
      </c>
      <c r="AB92" s="18">
        <f>(G92+Population!$B$11*AB91)*Population!N$29</f>
        <v>165.8611613692982</v>
      </c>
      <c r="AC92" s="18">
        <f>AB91*Population!$B$12*Population!$N$29+AC91*Population!$B$11*Population!$N$30+Y92*Population!$L$30</f>
        <v>165.56874792437287</v>
      </c>
      <c r="AD92" s="14">
        <f>(AC91*Population!$B$12*0.5*Population!$N$30)+(AD91*Population!$B$11*Population!N$31)+Y92*Population!$L$31</f>
        <v>82.290422762831966</v>
      </c>
      <c r="AE92" s="13">
        <f>(AC91*Population!$B$12*0.5*Population!$N$30)+(AE91*Population!$B$11*Population!N$31)+Y92*Population!$L$32</f>
        <v>82.290422762831966</v>
      </c>
      <c r="AF92" s="14">
        <f>(AD91*Population!$B$12*Population!N$31)+(AF91*Population!$B$11*Population!N$33)+Y92*Population!$L$33</f>
        <v>81.724779117934744</v>
      </c>
      <c r="AG92" s="13">
        <f>(AE91*Population!$B$12*Population!N$31)+(AG91*Population!$B$11*Population!N$33)+Y92*Population!$L$34</f>
        <v>81.724744477628249</v>
      </c>
      <c r="AH92" s="14">
        <f>(AF91*Population!$B$12*Population!N$33)+(AH91*Population!$B$11*Population!N$35)+Y92*Population!$L$35</f>
        <v>80.657044751045333</v>
      </c>
      <c r="AI92" s="13">
        <f>(AG91*Population!$B$12*Population!N$33)+(AI91*Population!$B$11*Population!N$35)+Y92*Population!$L$36</f>
        <v>80.656529046018775</v>
      </c>
      <c r="AJ92" s="14">
        <f>(AH91*Population!$B$12*Population!N$35)+(AJ91*Population!$B$11*Population!N$37)+Y92*Population!$L$37</f>
        <v>79.443143007442956</v>
      </c>
      <c r="AK92" s="13">
        <f>(AI91*Population!$B$12*Population!N$35)+(AK91*Population!$B$11*Population!N$37)+Y92*Population!$L$38</f>
        <v>79.439233020797914</v>
      </c>
      <c r="AL92" s="14">
        <f>(AJ91*Population!$B$12*Population!N$37)+(AL91*Population!$B$11*Population!N$39)+Y92*Population!$L$39</f>
        <v>78.120589939480894</v>
      </c>
      <c r="AM92" s="13">
        <f>(AK91*Population!$B$12*Population!N$37)+(AM91*Population!$B$11*Population!N$39)+Y92*Population!$L$40</f>
        <v>78.100884571897382</v>
      </c>
      <c r="AN92" s="14">
        <f>(AL91*Population!$B$12*Population!N$39)+(AN91*Population!$B$11*Population!N$41)+Y92*Population!$L$41</f>
        <v>76.685975516710556</v>
      </c>
      <c r="AO92" s="13">
        <f>(AM91*Population!$B$12*Population!N$39)+(AO91*Population!$B$11*Population!N$41)+Y92*Population!$L$42</f>
        <v>76.612041662687801</v>
      </c>
      <c r="AP92" s="15">
        <f>(AN91+AO91)*Population!$B$12*Population!$N$41+AP91*Population!$B$11*Population!$N$43</f>
        <v>145.63564372820832</v>
      </c>
      <c r="AQ92" s="5">
        <f>AP91*Population!N$43*Population!$B$12+AQ91*Population!$B$11*Population!N$44</f>
        <v>137.59463460722932</v>
      </c>
      <c r="AR92" s="5">
        <f>AQ91*Population!N$44*Population!$B$12+AR91*Population!$B$11*Population!N$45</f>
        <v>104.31642620392253</v>
      </c>
      <c r="AS92" s="5">
        <f>(AR91*Population!$B$12+AS91)*Population!N$46</f>
        <v>263.90917033744483</v>
      </c>
    </row>
    <row r="93" spans="1:45">
      <c r="A93">
        <f>A92+Population!$B$2</f>
        <v>90</v>
      </c>
      <c r="B93" s="4">
        <f t="shared" si="32"/>
        <v>1942</v>
      </c>
      <c r="C93" s="54">
        <f t="shared" si="31"/>
        <v>769</v>
      </c>
      <c r="D93" s="12">
        <f>AE92*Population!$Q$32*Population!$C$2+AG92*Population!$Q$34*Population!$C$2+AI92*Population!$Q$36*Population!$C$2+AK92*Population!$Q$38*Population!$C$2+AM92*Population!$Q$40*Population!$C$2+AO91*Population!$Q$42*Population!$C$2</f>
        <v>26.75236712876367</v>
      </c>
      <c r="E93" s="12">
        <f>IF(B92&gt;Population!$B$6*Population!$B$15,Population!$B$8,IF(Population!$J$6=1,D93,Population!$B$8*Population!$B$6*0.9/B92))</f>
        <v>23.761836638153017</v>
      </c>
      <c r="F93" s="12">
        <f>IF(B92&gt;Population!$B$6*0.75,Population!$B$8,E93)</f>
        <v>23.761836638153017</v>
      </c>
      <c r="G93" s="15">
        <f>IF(Population!$J$6=1,IF(E93&gt;H92,H92,E93),IF(E93&gt;X92,X92,E93))</f>
        <v>23.761836638153017</v>
      </c>
      <c r="H93" s="15">
        <f t="shared" si="33"/>
        <v>396</v>
      </c>
      <c r="I93" s="15">
        <f t="shared" si="34"/>
        <v>496</v>
      </c>
      <c r="J93" s="12">
        <f t="shared" si="28"/>
        <v>1.2525252525252526</v>
      </c>
      <c r="K93" s="12">
        <f>AB93*Population!$P$29+AC93*Population!$P$30+AD93*Population!$P$31+AE93*Population!$P$32+AF93*Population!$P$33+AG93*Population!$P$34+AH93*Population!$P$35+AI93*Population!$P$36+AJ93*Population!$P$37+AK93*Population!$P$38+AL93*Population!$P$37+AM93*Population!$P$38+AN93*Population!$P$39+AO93*Population!$P$40+AP93*Population!$P$41+AQ93*Population!$P$42+AR93*Population!$P$43+AS93*Population!$P$44</f>
        <v>4.847367809333452</v>
      </c>
      <c r="L93" s="12">
        <f t="shared" si="35"/>
        <v>6.0004637975133883E-2</v>
      </c>
      <c r="M93" s="12">
        <f t="shared" si="36"/>
        <v>11.51690879837459</v>
      </c>
      <c r="N93" s="12">
        <f t="shared" si="29"/>
        <v>0.25540679711637487</v>
      </c>
      <c r="O93" s="12">
        <f t="shared" si="37"/>
        <v>747.66511896379961</v>
      </c>
      <c r="P93" s="12">
        <f t="shared" si="38"/>
        <v>207</v>
      </c>
      <c r="Q93" s="12">
        <f t="shared" si="39"/>
        <v>142.16744051810019</v>
      </c>
      <c r="R93" s="12">
        <f t="shared" si="40"/>
        <v>263.90917033744483</v>
      </c>
      <c r="S93" s="12">
        <f t="shared" si="41"/>
        <v>0.13631614783846405</v>
      </c>
      <c r="T93" s="12">
        <f t="shared" si="30"/>
        <v>0.8817359609042934</v>
      </c>
      <c r="U93" s="12">
        <f>Population!$B$13*MIN(Z92:AA92)</f>
        <v>11.875093490790732</v>
      </c>
      <c r="V93" s="12">
        <f>X92*Population!$B$14</f>
        <v>2.0941983528952033</v>
      </c>
      <c r="W93" s="12">
        <f>AO92*T92*Population!$B$12</f>
        <v>9.6465134356625466</v>
      </c>
      <c r="X93" s="12">
        <f t="shared" si="44"/>
        <v>349.16744051810019</v>
      </c>
      <c r="Y93" s="12">
        <f>IF(B92&lt;Vehicle!$B$1*0.75,Vehicle!$B$1*0.01,0)</f>
        <v>0</v>
      </c>
      <c r="Z93" s="14">
        <f t="shared" si="42"/>
        <v>47.592053069017084</v>
      </c>
      <c r="AA93" s="13">
        <f t="shared" si="43"/>
        <v>47.504683533224579</v>
      </c>
      <c r="AB93" s="18">
        <f>(G93+Population!$B$11*AB92)*Population!N$29</f>
        <v>165.86117939343418</v>
      </c>
      <c r="AC93" s="18">
        <f>AB92*Population!$B$12*Population!$N$29+AC92*Population!$B$11*Population!$N$30+Y93*Population!$L$30</f>
        <v>165.56897021061738</v>
      </c>
      <c r="AD93" s="14">
        <f>(AC92*Population!$B$12*0.5*Population!$N$30)+(AD92*Population!$B$11*Population!N$31)+Y93*Population!$L$31</f>
        <v>82.291106773954127</v>
      </c>
      <c r="AE93" s="13">
        <f>(AC92*Population!$B$12*0.5*Population!$N$30)+(AE92*Population!$B$11*Population!N$31)+Y93*Population!$L$32</f>
        <v>82.291106773954127</v>
      </c>
      <c r="AF93" s="14">
        <f>(AD92*Population!$B$12*Population!N$31)+(AF92*Population!$B$11*Population!N$33)+Y93*Population!$L$33</f>
        <v>81.727624630078736</v>
      </c>
      <c r="AG93" s="13">
        <f>(AE92*Population!$B$12*Population!N$31)+(AG92*Population!$B$11*Population!N$33)+Y93*Population!$L$34</f>
        <v>81.727594966683654</v>
      </c>
      <c r="AH93" s="14">
        <f>(AF92*Population!$B$12*Population!N$33)+(AH92*Population!$B$11*Population!N$35)+Y93*Population!$L$35</f>
        <v>80.665713536310761</v>
      </c>
      <c r="AI93" s="13">
        <f>(AG92*Population!$B$12*Population!N$33)+(AI92*Population!$B$11*Population!N$35)+Y93*Population!$L$36</f>
        <v>80.665267408234797</v>
      </c>
      <c r="AJ93" s="14">
        <f>(AH92*Population!$B$12*Population!N$35)+(AJ92*Population!$B$11*Population!N$37)+Y93*Population!$L$37</f>
        <v>79.463693751762193</v>
      </c>
      <c r="AK93" s="13">
        <f>(AI92*Population!$B$12*Population!N$35)+(AK92*Population!$B$11*Population!N$37)+Y93*Population!$L$38</f>
        <v>79.460275238662618</v>
      </c>
      <c r="AL93" s="14">
        <f>(AJ92*Population!$B$12*Population!N$37)+(AL92*Population!$B$11*Population!N$39)+Y93*Population!$L$39</f>
        <v>78.159171801950166</v>
      </c>
      <c r="AM93" s="13">
        <f>(AK92*Population!$B$12*Population!N$37)+(AM92*Population!$B$11*Population!N$39)+Y93*Population!$L$40</f>
        <v>78.141756419216279</v>
      </c>
      <c r="AN93" s="14">
        <f>(AL92*Population!$B$12*Population!N$39)+(AN92*Population!$B$11*Population!N$41)+Y93*Population!$L$41</f>
        <v>76.74328986701542</v>
      </c>
      <c r="AO93" s="13">
        <f>(AM92*Population!$B$12*Population!N$39)+(AO92*Population!$B$11*Population!N$41)+Y93*Population!$L$42</f>
        <v>76.677230018527425</v>
      </c>
      <c r="AP93" s="15">
        <f>(AN92+AO92)*Population!$B$12*Population!$N$41+AP92*Population!$B$11*Population!$N$43</f>
        <v>145.78319955049813</v>
      </c>
      <c r="AQ93" s="5">
        <f>AP92*Population!N$43*Population!$B$12+AQ92*Population!$B$11*Population!N$44</f>
        <v>137.73746090702005</v>
      </c>
      <c r="AR93" s="5">
        <f>AQ92*Population!N$44*Population!$B$12+AR92*Population!$B$11*Population!N$45</f>
        <v>104.41074794556131</v>
      </c>
      <c r="AS93" s="5">
        <f>(AR92*Population!$B$12+AS92)*Population!N$46</f>
        <v>264.72595910229717</v>
      </c>
    </row>
    <row r="94" spans="1:45">
      <c r="A94">
        <f>A93+Population!$B$2</f>
        <v>91</v>
      </c>
      <c r="B94" s="4">
        <f t="shared" si="32"/>
        <v>1943</v>
      </c>
      <c r="C94" s="54">
        <f t="shared" si="31"/>
        <v>769</v>
      </c>
      <c r="D94" s="12">
        <f>AE93*Population!$Q$32*Population!$C$2+AG93*Population!$Q$34*Population!$C$2+AI93*Population!$Q$36*Population!$C$2+AK93*Population!$Q$38*Population!$C$2+AM93*Population!$Q$40*Population!$C$2+AO92*Population!$Q$42*Population!$C$2</f>
        <v>26.758429535657804</v>
      </c>
      <c r="E94" s="12">
        <f>IF(B93&gt;Population!$B$6*Population!$B$15,Population!$B$8,IF(Population!$J$6=1,D94,Population!$B$8*Population!$B$6*0.9/B93))</f>
        <v>23.761836638153017</v>
      </c>
      <c r="F94" s="12">
        <f>IF(B93&gt;Population!$B$6*0.75,Population!$B$8,E94)</f>
        <v>23.761836638153017</v>
      </c>
      <c r="G94" s="15">
        <f>IF(Population!$J$6=1,IF(E94&gt;H93,H93,E94),IF(E94&gt;X93,X93,E94))</f>
        <v>23.761836638153017</v>
      </c>
      <c r="H94" s="15">
        <f t="shared" si="33"/>
        <v>396</v>
      </c>
      <c r="I94" s="15">
        <f t="shared" si="34"/>
        <v>496</v>
      </c>
      <c r="J94" s="12">
        <f t="shared" si="28"/>
        <v>1.2525252525252526</v>
      </c>
      <c r="K94" s="12">
        <f>AB94*Population!$P$29+AC94*Population!$P$30+AD94*Population!$P$31+AE94*Population!$P$32+AF94*Population!$P$33+AG94*Population!$P$34+AH94*Population!$P$35+AI94*Population!$P$36+AJ94*Population!$P$37+AK94*Population!$P$38+AL94*Population!$P$37+AM94*Population!$P$38+AN94*Population!$P$39+AO94*Population!$P$40+AP94*Population!$P$41+AQ94*Population!$P$42+AR94*Population!$P$43+AS94*Population!$P$44</f>
        <v>4.8548087694032134</v>
      </c>
      <c r="L94" s="12">
        <f t="shared" si="35"/>
        <v>6.0004637975133883E-2</v>
      </c>
      <c r="M94" s="12">
        <f t="shared" si="36"/>
        <v>11.51830980324322</v>
      </c>
      <c r="N94" s="12">
        <f t="shared" si="29"/>
        <v>0.25527534740092639</v>
      </c>
      <c r="O94" s="12">
        <f t="shared" si="37"/>
        <v>748.41966393765188</v>
      </c>
      <c r="P94" s="12">
        <f t="shared" si="38"/>
        <v>207</v>
      </c>
      <c r="Q94" s="12">
        <f t="shared" si="39"/>
        <v>142.29016803117406</v>
      </c>
      <c r="R94" s="12">
        <f t="shared" si="40"/>
        <v>264.72595910229717</v>
      </c>
      <c r="S94" s="12">
        <f t="shared" si="41"/>
        <v>0.13665171255778955</v>
      </c>
      <c r="T94" s="12">
        <f t="shared" si="30"/>
        <v>0.88204587886660113</v>
      </c>
      <c r="U94" s="12">
        <f>Population!$B$13*MIN(Z93:AA93)</f>
        <v>11.876170883306145</v>
      </c>
      <c r="V94" s="12">
        <f>X93*Population!$B$14</f>
        <v>2.0950046431086013</v>
      </c>
      <c r="W94" s="12">
        <f>AO93*T93*Population!$B$12</f>
        <v>9.658438727123686</v>
      </c>
      <c r="X94" s="12">
        <f t="shared" si="44"/>
        <v>349.29016803117406</v>
      </c>
      <c r="Y94" s="12">
        <f>IF(B93&lt;Vehicle!$B$1*0.75,Vehicle!$B$1*0.01,0)</f>
        <v>0</v>
      </c>
      <c r="Z94" s="14">
        <f t="shared" si="42"/>
        <v>47.588969455377196</v>
      </c>
      <c r="AA94" s="13">
        <f t="shared" si="43"/>
        <v>47.511186642348719</v>
      </c>
      <c r="AB94" s="18">
        <f>(G94+Population!$B$11*AB93)*Population!N$29</f>
        <v>165.86119483642119</v>
      </c>
      <c r="AC94" s="18">
        <f>AB93*Population!$B$12*Population!$N$29+AC93*Population!$B$11*Population!$N$30+Y94*Population!$L$30</f>
        <v>165.5691632726458</v>
      </c>
      <c r="AD94" s="14">
        <f>(AC93*Population!$B$12*0.5*Population!$N$30)+(AD93*Population!$B$11*Population!N$31)+Y94*Population!$L$31</f>
        <v>82.291708384478753</v>
      </c>
      <c r="AE94" s="13">
        <f>(AC93*Population!$B$12*0.5*Population!$N$30)+(AE93*Population!$B$11*Population!N$31)+Y94*Population!$L$32</f>
        <v>82.291708384478753</v>
      </c>
      <c r="AF94" s="14">
        <f>(AD93*Population!$B$12*Population!N$31)+(AF93*Population!$B$11*Population!N$33)+Y94*Population!$L$33</f>
        <v>81.730158938862317</v>
      </c>
      <c r="AG94" s="13">
        <f>(AE93*Population!$B$12*Population!N$31)+(AG93*Population!$B$11*Population!N$33)+Y94*Population!$L$34</f>
        <v>81.730133537325855</v>
      </c>
      <c r="AH94" s="14">
        <f>(AF93*Population!$B$12*Population!N$33)+(AH93*Population!$B$11*Population!N$35)+Y94*Population!$L$35</f>
        <v>80.673535771676086</v>
      </c>
      <c r="AI94" s="13">
        <f>(AG93*Population!$B$12*Population!N$33)+(AI93*Population!$B$11*Population!N$35)+Y94*Population!$L$36</f>
        <v>80.673149876792337</v>
      </c>
      <c r="AJ94" s="14">
        <f>(AH93*Population!$B$12*Population!N$35)+(AJ93*Population!$B$11*Population!N$37)+Y94*Population!$L$37</f>
        <v>79.482510874981998</v>
      </c>
      <c r="AK94" s="13">
        <f>(AI93*Population!$B$12*Population!N$35)+(AK93*Population!$B$11*Population!N$37)+Y94*Population!$L$38</f>
        <v>79.47952273657674</v>
      </c>
      <c r="AL94" s="14">
        <f>(AJ93*Population!$B$12*Population!N$37)+(AL93*Population!$B$11*Population!N$39)+Y94*Population!$L$39</f>
        <v>78.195108658900196</v>
      </c>
      <c r="AM94" s="13">
        <f>(AK93*Population!$B$12*Population!N$37)+(AM93*Population!$B$11*Population!N$39)+Y94*Population!$L$40</f>
        <v>78.179722427364666</v>
      </c>
      <c r="AN94" s="14">
        <f>(AL93*Population!$B$12*Population!N$39)+(AN93*Population!$B$11*Population!N$41)+Y94*Population!$L$41</f>
        <v>76.797823242130704</v>
      </c>
      <c r="AO94" s="13">
        <f>(AM93*Population!$B$12*Population!N$39)+(AO93*Population!$B$11*Population!N$41)+Y94*Population!$L$42</f>
        <v>76.73882609546321</v>
      </c>
      <c r="AP94" s="15">
        <f>(AN93+AO93)*Population!$B$12*Population!$N$41+AP93*Population!$B$11*Population!$N$43</f>
        <v>145.92622580141494</v>
      </c>
      <c r="AQ94" s="5">
        <f>AP93*Population!N$43*Population!$B$12+AQ93*Population!$B$11*Population!N$44</f>
        <v>137.87992246377456</v>
      </c>
      <c r="AR94" s="5">
        <f>AQ93*Population!N$44*Population!$B$12+AR93*Population!$B$11*Population!N$45</f>
        <v>104.5077665816505</v>
      </c>
      <c r="AS94" s="5">
        <f>(AR93*Population!$B$12+AS93)*Population!N$46</f>
        <v>265.51427749978507</v>
      </c>
    </row>
    <row r="95" spans="1:45">
      <c r="A95">
        <f>A94+Population!$B$2</f>
        <v>92</v>
      </c>
      <c r="B95" s="4">
        <f t="shared" si="32"/>
        <v>1944</v>
      </c>
      <c r="C95" s="54">
        <f t="shared" si="31"/>
        <v>769</v>
      </c>
      <c r="D95" s="12">
        <f>AE94*Population!$Q$32*Population!$C$2+AG94*Population!$Q$34*Population!$C$2+AI94*Population!$Q$36*Population!$C$2+AK94*Population!$Q$38*Population!$C$2+AM94*Population!$Q$40*Population!$C$2+AO93*Population!$Q$42*Population!$C$2</f>
        <v>26.764039062805772</v>
      </c>
      <c r="E95" s="12">
        <f>IF(B94&gt;Population!$B$6*Population!$B$15,Population!$B$8,IF(Population!$J$6=1,D95,Population!$B$8*Population!$B$6*0.9/B94))</f>
        <v>23.761836638153017</v>
      </c>
      <c r="F95" s="12">
        <f>IF(B94&gt;Population!$B$6*0.75,Population!$B$8,E95)</f>
        <v>23.761836638153017</v>
      </c>
      <c r="G95" s="15">
        <f>IF(Population!$J$6=1,IF(E95&gt;H94,H94,E95),IF(E95&gt;X94,X94,E95))</f>
        <v>23.761836638153017</v>
      </c>
      <c r="H95" s="15">
        <f t="shared" si="33"/>
        <v>396</v>
      </c>
      <c r="I95" s="15">
        <f t="shared" si="34"/>
        <v>496</v>
      </c>
      <c r="J95" s="12">
        <f t="shared" si="28"/>
        <v>1.2525252525252526</v>
      </c>
      <c r="K95" s="12">
        <f>AB95*Population!$P$29+AC95*Population!$P$30+AD95*Population!$P$31+AE95*Population!$P$32+AF95*Population!$P$33+AG95*Population!$P$34+AH95*Population!$P$35+AI95*Population!$P$36+AJ95*Population!$P$37+AK95*Population!$P$38+AL95*Population!$P$37+AM95*Population!$P$38+AN95*Population!$P$39+AO95*Population!$P$40+AP95*Population!$P$41+AQ95*Population!$P$42+AR95*Population!$P$43+AS95*Population!$P$44</f>
        <v>4.8620289862746651</v>
      </c>
      <c r="L95" s="12">
        <f t="shared" si="35"/>
        <v>6.0004637975133883E-2</v>
      </c>
      <c r="M95" s="12">
        <f t="shared" si="36"/>
        <v>11.519583100752708</v>
      </c>
      <c r="N95" s="12">
        <f t="shared" si="29"/>
        <v>0.2551440329218107</v>
      </c>
      <c r="O95" s="12">
        <f t="shared" si="37"/>
        <v>749.19474272044124</v>
      </c>
      <c r="P95" s="12">
        <f t="shared" si="38"/>
        <v>207</v>
      </c>
      <c r="Q95" s="12">
        <f t="shared" si="39"/>
        <v>142.40262863977938</v>
      </c>
      <c r="R95" s="12">
        <f t="shared" si="40"/>
        <v>265.51427749978507</v>
      </c>
      <c r="S95" s="12">
        <f t="shared" si="41"/>
        <v>0.13697321484548919</v>
      </c>
      <c r="T95" s="12">
        <f t="shared" si="30"/>
        <v>0.88232987030247323</v>
      </c>
      <c r="U95" s="12">
        <f>Population!$B$13*MIN(Z94:AA94)</f>
        <v>11.87779666058718</v>
      </c>
      <c r="V95" s="12">
        <f>X94*Population!$B$14</f>
        <v>2.0957410081870442</v>
      </c>
      <c r="W95" s="12">
        <f>AO94*T94*Population!$B$12</f>
        <v>9.6695950437948728</v>
      </c>
      <c r="X95" s="12">
        <f t="shared" si="44"/>
        <v>349.40262863977938</v>
      </c>
      <c r="Y95" s="12">
        <f>IF(B94&lt;Vehicle!$B$1*0.75,Vehicle!$B$1*0.01,0)</f>
        <v>0</v>
      </c>
      <c r="Z95" s="14">
        <f t="shared" si="42"/>
        <v>47.588235818617704</v>
      </c>
      <c r="AA95" s="13">
        <f t="shared" si="43"/>
        <v>47.519014305762084</v>
      </c>
      <c r="AB95" s="18">
        <f>(G95+Population!$B$11*AB94)*Population!N$29</f>
        <v>165.86120806789302</v>
      </c>
      <c r="AC95" s="18">
        <f>AB94*Population!$B$12*Population!$N$29+AC94*Population!$B$11*Population!$N$30+Y95*Population!$L$30</f>
        <v>165.56933092239635</v>
      </c>
      <c r="AD95" s="14">
        <f>(AC94*Population!$B$12*0.5*Population!$N$30)+(AD94*Population!$B$11*Population!N$31)+Y95*Population!$L$31</f>
        <v>82.292237346254979</v>
      </c>
      <c r="AE95" s="13">
        <f>(AC94*Population!$B$12*0.5*Population!$N$30)+(AE94*Population!$B$11*Population!N$31)+Y95*Population!$L$32</f>
        <v>82.292237346254979</v>
      </c>
      <c r="AF95" s="14">
        <f>(AD94*Population!$B$12*Population!N$31)+(AF94*Population!$B$11*Population!N$33)+Y95*Population!$L$33</f>
        <v>81.732414995821415</v>
      </c>
      <c r="AG95" s="13">
        <f>(AE94*Population!$B$12*Population!N$31)+(AG94*Population!$B$11*Population!N$33)+Y95*Population!$L$34</f>
        <v>81.7323932438253</v>
      </c>
      <c r="AH95" s="14">
        <f>(AF94*Population!$B$12*Population!N$33)+(AH94*Population!$B$11*Population!N$35)+Y95*Population!$L$35</f>
        <v>80.680589370765773</v>
      </c>
      <c r="AI95" s="13">
        <f>(AG94*Population!$B$12*Population!N$33)+(AI94*Population!$B$11*Population!N$35)+Y95*Population!$L$36</f>
        <v>80.680255613462592</v>
      </c>
      <c r="AJ95" s="14">
        <f>(AH94*Population!$B$12*Population!N$35)+(AJ94*Population!$B$11*Population!N$37)+Y95*Population!$L$37</f>
        <v>79.499724186800947</v>
      </c>
      <c r="AK95" s="13">
        <f>(AI94*Population!$B$12*Population!N$35)+(AK94*Population!$B$11*Population!N$37)+Y95*Population!$L$38</f>
        <v>79.497112820937716</v>
      </c>
      <c r="AL95" s="14">
        <f>(AJ94*Population!$B$12*Population!N$37)+(AL94*Population!$B$11*Population!N$39)+Y95*Population!$L$39</f>
        <v>78.2285355365361</v>
      </c>
      <c r="AM95" s="13">
        <f>(AK94*Population!$B$12*Population!N$37)+(AM94*Population!$B$11*Population!N$39)+Y95*Population!$L$40</f>
        <v>78.21494660210675</v>
      </c>
      <c r="AN95" s="14">
        <f>(AL94*Population!$B$12*Population!N$39)+(AN94*Population!$B$11*Population!N$41)+Y95*Population!$L$41</f>
        <v>76.849600368472849</v>
      </c>
      <c r="AO95" s="13">
        <f>(AM94*Population!$B$12*Population!N$39)+(AO94*Population!$B$11*Population!N$41)+Y95*Population!$L$42</f>
        <v>76.796934665209093</v>
      </c>
      <c r="AP95" s="15">
        <f>(AN94+AO94)*Population!$B$12*Population!$N$41+AP94*Population!$B$11*Population!$N$43</f>
        <v>146.06448899385629</v>
      </c>
      <c r="AQ95" s="5">
        <f>AP94*Population!N$43*Population!$B$12+AQ94*Population!$B$11*Population!N$44</f>
        <v>138.02143125997543</v>
      </c>
      <c r="AR95" s="5">
        <f>AQ94*Population!N$44*Population!$B$12+AR94*Population!$B$11*Population!N$45</f>
        <v>104.60692832994076</v>
      </c>
      <c r="AS95" s="5">
        <f>(AR94*Population!$B$12+AS94)*Population!N$46</f>
        <v>266.275929659631</v>
      </c>
    </row>
    <row r="96" spans="1:45">
      <c r="A96">
        <f>A95+Population!$B$2</f>
        <v>93</v>
      </c>
      <c r="B96" s="4">
        <f t="shared" si="32"/>
        <v>1946</v>
      </c>
      <c r="C96" s="54">
        <f t="shared" si="31"/>
        <v>770</v>
      </c>
      <c r="D96" s="12">
        <f>AE95*Population!$Q$32*Population!$C$2+AG95*Population!$Q$34*Population!$C$2+AI95*Population!$Q$36*Population!$C$2+AK95*Population!$Q$38*Population!$C$2+AM95*Population!$Q$40*Population!$C$2+AO94*Population!$Q$42*Population!$C$2</f>
        <v>26.769225284068444</v>
      </c>
      <c r="E96" s="12">
        <f>IF(B95&gt;Population!$B$6*Population!$B$15,Population!$B$8,IF(Population!$J$6=1,D96,Population!$B$8*Population!$B$6*0.9/B95))</f>
        <v>23.761836638153017</v>
      </c>
      <c r="F96" s="12">
        <f>IF(B95&gt;Population!$B$6*0.75,Population!$B$8,E96)</f>
        <v>23.761836638153017</v>
      </c>
      <c r="G96" s="15">
        <f>IF(Population!$J$6=1,IF(E96&gt;H95,H95,E96),IF(E96&gt;X95,X95,E96))</f>
        <v>23.761836638153017</v>
      </c>
      <c r="H96" s="15">
        <f t="shared" si="33"/>
        <v>397</v>
      </c>
      <c r="I96" s="15">
        <f t="shared" si="34"/>
        <v>496</v>
      </c>
      <c r="J96" s="12">
        <f t="shared" si="28"/>
        <v>1.2493702770780857</v>
      </c>
      <c r="K96" s="12">
        <f>AB96*Population!$P$29+AC96*Population!$P$30+AD96*Population!$P$31+AE96*Population!$P$32+AF96*Population!$P$33+AG96*Population!$P$34+AH96*Population!$P$35+AI96*Population!$P$36+AJ96*Population!$P$37+AK96*Population!$P$38+AL96*Population!$P$37+AM96*Population!$P$38+AN96*Population!$P$39+AO96*Population!$P$40+AP96*Population!$P$41+AQ96*Population!$P$42+AR96*Population!$P$43+AS96*Population!$P$44</f>
        <v>4.8690367826601459</v>
      </c>
      <c r="L96" s="12">
        <f t="shared" si="35"/>
        <v>5.9853492791317423E-2</v>
      </c>
      <c r="M96" s="12">
        <f t="shared" si="36"/>
        <v>11.520739500840142</v>
      </c>
      <c r="N96" s="12">
        <f t="shared" si="29"/>
        <v>0.25488180883864336</v>
      </c>
      <c r="O96" s="12">
        <f t="shared" si="37"/>
        <v>750.98813265488934</v>
      </c>
      <c r="P96" s="12">
        <f t="shared" si="38"/>
        <v>207</v>
      </c>
      <c r="Q96" s="12">
        <f t="shared" si="39"/>
        <v>142.50593367255533</v>
      </c>
      <c r="R96" s="12">
        <f t="shared" si="40"/>
        <v>266.275929659631</v>
      </c>
      <c r="S96" s="12">
        <f t="shared" si="41"/>
        <v>0.13721097299686516</v>
      </c>
      <c r="T96" s="12">
        <f t="shared" si="30"/>
        <v>0.88036759111474894</v>
      </c>
      <c r="U96" s="12">
        <f>Population!$B$13*MIN(Z95:AA95)</f>
        <v>11.879753576440521</v>
      </c>
      <c r="V96" s="12">
        <f>X95*Population!$B$14</f>
        <v>2.0964157718386764</v>
      </c>
      <c r="W96" s="12">
        <f>AO95*T95*Population!$B$12</f>
        <v>9.6800327718259211</v>
      </c>
      <c r="X96" s="12">
        <f t="shared" si="44"/>
        <v>349.50593367255533</v>
      </c>
      <c r="Y96" s="12">
        <f>IF(B95&lt;Vehicle!$B$1*0.75,Vehicle!$B$1*0.01,0)</f>
        <v>0</v>
      </c>
      <c r="Z96" s="14">
        <f t="shared" si="42"/>
        <v>47.58913838685379</v>
      </c>
      <c r="AA96" s="13">
        <f t="shared" si="43"/>
        <v>47.527558984713437</v>
      </c>
      <c r="AB96" s="18">
        <f>(G96+Population!$B$11*AB95)*Population!N$29</f>
        <v>165.86121940455004</v>
      </c>
      <c r="AC96" s="18">
        <f>AB95*Population!$B$12*Population!$N$29+AC95*Population!$B$11*Population!$N$30+Y96*Population!$L$30</f>
        <v>165.56947647929292</v>
      </c>
      <c r="AD96" s="14">
        <f>(AC95*Population!$B$12*0.5*Population!$N$30)+(AD95*Population!$B$11*Population!N$31)+Y96*Population!$L$31</f>
        <v>82.29270228226477</v>
      </c>
      <c r="AE96" s="13">
        <f>(AC95*Population!$B$12*0.5*Population!$N$30)+(AE95*Population!$B$11*Population!N$31)+Y96*Population!$L$32</f>
        <v>82.29270228226477</v>
      </c>
      <c r="AF96" s="14">
        <f>(AD95*Population!$B$12*Population!N$31)+(AF95*Population!$B$11*Population!N$33)+Y96*Population!$L$33</f>
        <v>81.73442241000663</v>
      </c>
      <c r="AG96" s="13">
        <f>(AE95*Population!$B$12*Population!N$31)+(AG95*Population!$B$11*Population!N$33)+Y96*Population!$L$34</f>
        <v>81.734403783206801</v>
      </c>
      <c r="AH96" s="14">
        <f>(AF95*Population!$B$12*Population!N$33)+(AH95*Population!$B$11*Population!N$35)+Y96*Population!$L$35</f>
        <v>80.686945691339133</v>
      </c>
      <c r="AI96" s="13">
        <f>(AG95*Population!$B$12*Population!N$33)+(AI95*Population!$B$11*Population!N$35)+Y96*Population!$L$36</f>
        <v>80.686657058453207</v>
      </c>
      <c r="AJ96" s="14">
        <f>(AH95*Population!$B$12*Population!N$35)+(AJ95*Population!$B$11*Population!N$37)+Y96*Population!$L$37</f>
        <v>79.515455848192516</v>
      </c>
      <c r="AK96" s="13">
        <f>(AI95*Population!$B$12*Population!N$35)+(AK95*Population!$B$11*Population!N$37)+Y96*Population!$L$38</f>
        <v>79.513174244087679</v>
      </c>
      <c r="AL96" s="14">
        <f>(AJ95*Population!$B$12*Population!N$37)+(AL95*Population!$B$11*Population!N$39)+Y96*Population!$L$39</f>
        <v>78.259586458028281</v>
      </c>
      <c r="AM96" s="13">
        <f>(AK95*Population!$B$12*Population!N$37)+(AM95*Population!$B$11*Population!N$39)+Y96*Population!$L$40</f>
        <v>78.247588827443678</v>
      </c>
      <c r="AN96" s="14">
        <f>(AL95*Population!$B$12*Population!N$39)+(AN95*Population!$B$11*Population!N$41)+Y96*Population!$L$41</f>
        <v>76.898661651842602</v>
      </c>
      <c r="AO96" s="13">
        <f>(AM95*Population!$B$12*Population!N$39)+(AO95*Population!$B$11*Population!N$41)+Y96*Population!$L$42</f>
        <v>76.851668744077443</v>
      </c>
      <c r="AP96" s="15">
        <f>(AN95+AO95)*Population!$B$12*Population!$N$41+AP95*Population!$B$11*Population!$N$43</f>
        <v>146.1978089111889</v>
      </c>
      <c r="AQ96" s="5">
        <f>AP95*Population!N$43*Population!$B$12+AQ95*Population!$B$11*Population!N$44</f>
        <v>138.16145382124208</v>
      </c>
      <c r="AR96" s="5">
        <f>AQ95*Population!N$44*Population!$B$12+AR95*Population!$B$11*Population!N$45</f>
        <v>104.70769910680193</v>
      </c>
      <c r="AS96" s="5">
        <f>(AR95*Population!$B$12+AS95)*Population!N$46</f>
        <v>267.01255345189958</v>
      </c>
    </row>
    <row r="97" spans="1:45">
      <c r="A97">
        <f>A96+Population!$B$2</f>
        <v>94</v>
      </c>
      <c r="B97" s="4">
        <f t="shared" si="32"/>
        <v>1947</v>
      </c>
      <c r="C97" s="54">
        <f t="shared" si="31"/>
        <v>770</v>
      </c>
      <c r="D97" s="12">
        <f>AE96*Population!$Q$32*Population!$C$2+AG96*Population!$Q$34*Population!$C$2+AI96*Population!$Q$36*Population!$C$2+AK96*Population!$Q$38*Population!$C$2+AM96*Population!$Q$40*Population!$C$2+AO95*Population!$Q$42*Population!$C$2</f>
        <v>26.774016296219905</v>
      </c>
      <c r="E97" s="12">
        <f>IF(B96&gt;Population!$B$6*Population!$B$15,Population!$B$8,IF(Population!$J$6=1,D97,Population!$B$8*Population!$B$6*0.9/B96))</f>
        <v>23.761836638153017</v>
      </c>
      <c r="F97" s="12">
        <f>IF(B96&gt;Population!$B$6*0.75,Population!$B$8,E97)</f>
        <v>23.761836638153017</v>
      </c>
      <c r="G97" s="15">
        <f>IF(Population!$J$6=1,IF(E97&gt;H96,H96,E97),IF(E97&gt;X96,X96,E97))</f>
        <v>23.761836638153017</v>
      </c>
      <c r="H97" s="15">
        <f t="shared" si="33"/>
        <v>397</v>
      </c>
      <c r="I97" s="15">
        <f t="shared" si="34"/>
        <v>496</v>
      </c>
      <c r="J97" s="12">
        <f t="shared" si="28"/>
        <v>1.2493702770780857</v>
      </c>
      <c r="K97" s="12">
        <f>AB97*Population!$P$29+AC97*Population!$P$30+AD97*Population!$P$31+AE97*Population!$P$32+AF97*Population!$P$33+AG97*Population!$P$34+AH97*Population!$P$35+AI97*Population!$P$36+AJ97*Population!$P$37+AK97*Population!$P$38+AL97*Population!$P$37+AM97*Population!$P$38+AN97*Population!$P$39+AO97*Population!$P$40+AP97*Population!$P$41+AQ97*Population!$P$42+AR97*Population!$P$43+AS97*Population!$P$44</f>
        <v>4.8758396890130644</v>
      </c>
      <c r="L97" s="12">
        <f t="shared" si="35"/>
        <v>5.9853492791317423E-2</v>
      </c>
      <c r="M97" s="12">
        <f t="shared" si="36"/>
        <v>11.521789000848795</v>
      </c>
      <c r="N97" s="12">
        <f t="shared" si="29"/>
        <v>0.25475089881869545</v>
      </c>
      <c r="O97" s="12">
        <f t="shared" si="37"/>
        <v>751.7492010767096</v>
      </c>
      <c r="P97" s="12">
        <f t="shared" si="38"/>
        <v>207</v>
      </c>
      <c r="Q97" s="12">
        <f t="shared" si="39"/>
        <v>142.6253994616452</v>
      </c>
      <c r="R97" s="12">
        <f t="shared" si="40"/>
        <v>267.01255345189958</v>
      </c>
      <c r="S97" s="12">
        <f t="shared" si="41"/>
        <v>0.13750674450865752</v>
      </c>
      <c r="T97" s="12">
        <f t="shared" si="30"/>
        <v>0.88066851249784683</v>
      </c>
      <c r="U97" s="12">
        <f>Population!$B$13*MIN(Z96:AA96)</f>
        <v>11.881889746178359</v>
      </c>
      <c r="V97" s="12">
        <f>X96*Population!$B$14</f>
        <v>2.0970356020353322</v>
      </c>
      <c r="W97" s="12">
        <f>AO96*T96*Population!$B$12</f>
        <v>9.6653883550531567</v>
      </c>
      <c r="X97" s="12">
        <f t="shared" si="44"/>
        <v>349.6253994616452</v>
      </c>
      <c r="Y97" s="12">
        <f>IF(B96&lt;Vehicle!$B$1*0.75,Vehicle!$B$1*0.01,0)</f>
        <v>0</v>
      </c>
      <c r="Z97" s="14">
        <f t="shared" si="42"/>
        <v>47.566753119525913</v>
      </c>
      <c r="AA97" s="13">
        <f t="shared" si="43"/>
        <v>47.51199231488016</v>
      </c>
      <c r="AB97" s="18">
        <f>(G97+Population!$B$11*AB96)*Population!N$29</f>
        <v>165.86122911773947</v>
      </c>
      <c r="AC97" s="18">
        <f>AB96*Population!$B$12*Population!$N$29+AC96*Population!$B$11*Population!$N$30+Y97*Population!$L$30</f>
        <v>165.56960283314032</v>
      </c>
      <c r="AD97" s="14">
        <f>(AC96*Population!$B$12*0.5*Population!$N$30)+(AD96*Population!$B$11*Population!N$31)+Y97*Population!$L$31</f>
        <v>82.293110813640169</v>
      </c>
      <c r="AE97" s="13">
        <f>(AC96*Population!$B$12*0.5*Population!$N$30)+(AE96*Population!$B$11*Population!N$31)+Y97*Population!$L$32</f>
        <v>82.293110813640169</v>
      </c>
      <c r="AF97" s="14">
        <f>(AD96*Population!$B$12*Population!N$31)+(AF96*Population!$B$11*Population!N$33)+Y97*Population!$L$33</f>
        <v>81.736207767098449</v>
      </c>
      <c r="AG97" s="13">
        <f>(AE96*Population!$B$12*Population!N$31)+(AG96*Population!$B$11*Population!N$33)+Y97*Population!$L$34</f>
        <v>81.736191816485473</v>
      </c>
      <c r="AH97" s="14">
        <f>(AF96*Population!$B$12*Population!N$33)+(AH96*Population!$B$11*Population!N$35)+Y97*Population!$L$35</f>
        <v>80.692670005588639</v>
      </c>
      <c r="AI97" s="13">
        <f>(AG96*Population!$B$12*Population!N$33)+(AI96*Population!$B$11*Population!N$35)+Y97*Population!$L$36</f>
        <v>80.69242042254389</v>
      </c>
      <c r="AJ97" s="14">
        <f>(AH96*Population!$B$12*Population!N$35)+(AJ96*Population!$B$11*Population!N$37)+Y97*Population!$L$37</f>
        <v>79.529820541913665</v>
      </c>
      <c r="AK97" s="13">
        <f>(AI96*Population!$B$12*Population!N$35)+(AK96*Population!$B$11*Population!N$37)+Y97*Population!$L$38</f>
        <v>79.527827482019305</v>
      </c>
      <c r="AL97" s="14">
        <f>(AJ96*Population!$B$12*Population!N$37)+(AL96*Population!$B$11*Population!N$39)+Y97*Population!$L$39</f>
        <v>78.28839349787674</v>
      </c>
      <c r="AM97" s="13">
        <f>(AK96*Population!$B$12*Population!N$37)+(AM96*Population!$B$11*Population!N$39)+Y97*Population!$L$40</f>
        <v>78.277804241558428</v>
      </c>
      <c r="AN97" s="14">
        <f>(AL96*Population!$B$12*Population!N$39)+(AN96*Population!$B$11*Population!N$41)+Y97*Population!$L$41</f>
        <v>76.945060768693608</v>
      </c>
      <c r="AO97" s="13">
        <f>(AM96*Population!$B$12*Population!N$39)+(AO96*Population!$B$11*Population!N$41)+Y97*Population!$L$42</f>
        <v>76.903147813918267</v>
      </c>
      <c r="AP97" s="15">
        <f>(AN96+AO96)*Population!$B$12*Population!$N$41+AP96*Population!$B$11*Population!$N$43</f>
        <v>146.3260540772938</v>
      </c>
      <c r="AQ97" s="5">
        <f>AP96*Population!N$43*Population!$B$12+AQ96*Population!$B$11*Population!N$44</f>
        <v>138.29951064040162</v>
      </c>
      <c r="AR97" s="5">
        <f>AQ96*Population!N$44*Population!$B$12+AR96*Population!$B$11*Population!N$45</f>
        <v>104.80956859551368</v>
      </c>
      <c r="AS97" s="5">
        <f>(AR96*Population!$B$12+AS96)*Population!N$46</f>
        <v>267.72563155835621</v>
      </c>
    </row>
    <row r="98" spans="1:45">
      <c r="A98">
        <f>A97+Population!$B$2</f>
        <v>95</v>
      </c>
      <c r="B98" s="4">
        <f t="shared" si="32"/>
        <v>1948</v>
      </c>
      <c r="C98" s="54">
        <f t="shared" si="31"/>
        <v>770</v>
      </c>
      <c r="D98" s="12">
        <f>AE97*Population!$Q$32*Population!$C$2+AG97*Population!$Q$34*Population!$C$2+AI97*Population!$Q$36*Population!$C$2+AK97*Population!$Q$38*Population!$C$2+AM97*Population!$Q$40*Population!$C$2+AO96*Population!$Q$42*Population!$C$2</f>
        <v>26.778438741799409</v>
      </c>
      <c r="E98" s="12">
        <f>IF(B97&gt;Population!$B$6*Population!$B$15,Population!$B$8,IF(Population!$J$6=1,D98,Population!$B$8*Population!$B$6*0.9/B97))</f>
        <v>23.761836638153017</v>
      </c>
      <c r="F98" s="12">
        <f>IF(B97&gt;Population!$B$6*0.75,Population!$B$8,E98)</f>
        <v>23.761836638153017</v>
      </c>
      <c r="G98" s="15">
        <f>IF(Population!$J$6=1,IF(E98&gt;H97,H97,E98),IF(E98&gt;X97,X97,E98))</f>
        <v>23.761836638153017</v>
      </c>
      <c r="H98" s="15">
        <f t="shared" si="33"/>
        <v>397</v>
      </c>
      <c r="I98" s="15">
        <f t="shared" si="34"/>
        <v>496</v>
      </c>
      <c r="J98" s="12">
        <f t="shared" ref="J98:J103" si="45">I98/H98</f>
        <v>1.2493702770780857</v>
      </c>
      <c r="K98" s="12">
        <f>AB98*Population!$P$29+AC98*Population!$P$30+AD98*Population!$P$31+AE98*Population!$P$32+AF98*Population!$P$33+AG98*Population!$P$34+AH98*Population!$P$35+AI98*Population!$P$36+AJ98*Population!$P$37+AK98*Population!$P$38+AL98*Population!$P$37+AM98*Population!$P$38+AN98*Population!$P$39+AO98*Population!$P$40+AP98*Population!$P$41+AQ98*Population!$P$42+AR98*Population!$P$43+AS98*Population!$P$44</f>
        <v>4.8824445302111652</v>
      </c>
      <c r="L98" s="12">
        <f t="shared" si="35"/>
        <v>5.9853492791317423E-2</v>
      </c>
      <c r="M98" s="12">
        <f t="shared" si="36"/>
        <v>11.522740833624049</v>
      </c>
      <c r="N98" s="12">
        <f t="shared" ref="N98:N115" si="46">I98/B98</f>
        <v>0.25462012320328542</v>
      </c>
      <c r="O98" s="12">
        <f t="shared" si="37"/>
        <v>752.53904708186224</v>
      </c>
      <c r="P98" s="12">
        <f t="shared" si="38"/>
        <v>207</v>
      </c>
      <c r="Q98" s="12">
        <f t="shared" si="39"/>
        <v>142.73047645906888</v>
      </c>
      <c r="R98" s="12">
        <f t="shared" si="40"/>
        <v>267.72563155835621</v>
      </c>
      <c r="S98" s="12">
        <f t="shared" si="41"/>
        <v>0.13779081239030982</v>
      </c>
      <c r="T98" s="12">
        <f t="shared" ref="T98:T103" si="47">X98/H98</f>
        <v>0.88093319007322135</v>
      </c>
      <c r="U98" s="12">
        <f>Population!$B$13*MIN(Z97:AA97)</f>
        <v>11.87799807872004</v>
      </c>
      <c r="V98" s="12">
        <f>X97*Population!$B$14</f>
        <v>2.0977523967698715</v>
      </c>
      <c r="W98" s="12">
        <f>AO97*T97*Population!$B$12</f>
        <v>9.6751686845264899</v>
      </c>
      <c r="X98" s="12">
        <f t="shared" si="44"/>
        <v>349.73047645906888</v>
      </c>
      <c r="Y98" s="12">
        <f>IF(B97&lt;Vehicle!$B$1*0.75,Vehicle!$B$1*0.01,0)</f>
        <v>0</v>
      </c>
      <c r="Z98" s="14">
        <f t="shared" si="42"/>
        <v>47.552014563059572</v>
      </c>
      <c r="AA98" s="13">
        <f t="shared" si="43"/>
        <v>47.503334952577688</v>
      </c>
      <c r="AB98" s="18">
        <f>(G98+Population!$B$11*AB97)*Population!N$29</f>
        <v>165.86123743995023</v>
      </c>
      <c r="AC98" s="18">
        <f>AB97*Population!$B$12*Population!$N$29+AC97*Population!$B$11*Population!$N$30+Y98*Population!$L$30</f>
        <v>165.56971249910501</v>
      </c>
      <c r="AD98" s="14">
        <f>(AC97*Population!$B$12*0.5*Population!$N$30)+(AD97*Population!$B$11*Population!N$31)+Y98*Population!$L$31</f>
        <v>82.293469672922868</v>
      </c>
      <c r="AE98" s="13">
        <f>(AC97*Population!$B$12*0.5*Population!$N$30)+(AE97*Population!$B$11*Population!N$31)+Y98*Population!$L$32</f>
        <v>82.293469672922868</v>
      </c>
      <c r="AF98" s="14">
        <f>(AD97*Population!$B$12*Population!N$31)+(AF97*Population!$B$11*Population!N$33)+Y98*Population!$L$33</f>
        <v>81.737794920801889</v>
      </c>
      <c r="AG98" s="13">
        <f>(AE97*Population!$B$12*Population!N$31)+(AG97*Population!$B$11*Population!N$33)+Y98*Population!$L$34</f>
        <v>81.737781261877288</v>
      </c>
      <c r="AH98" s="14">
        <f>(AF97*Population!$B$12*Population!N$33)+(AH97*Population!$B$11*Population!N$35)+Y98*Population!$L$35</f>
        <v>80.697821948023403</v>
      </c>
      <c r="AI98" s="13">
        <f>(AG97*Population!$B$12*Population!N$33)+(AI97*Population!$B$11*Population!N$35)+Y98*Population!$L$36</f>
        <v>80.697606153954283</v>
      </c>
      <c r="AJ98" s="14">
        <f>(AH97*Population!$B$12*Population!N$35)+(AJ97*Population!$B$11*Population!N$37)+Y98*Population!$L$37</f>
        <v>79.542925685431001</v>
      </c>
      <c r="AK98" s="13">
        <f>(AI97*Population!$B$12*Population!N$35)+(AK97*Population!$B$11*Population!N$37)+Y98*Population!$L$38</f>
        <v>79.541185042122223</v>
      </c>
      <c r="AL98" s="14">
        <f>(AJ97*Population!$B$12*Population!N$37)+(AL97*Population!$B$11*Population!N$39)+Y98*Population!$L$39</f>
        <v>78.315085997234007</v>
      </c>
      <c r="AM98" s="13">
        <f>(AK97*Population!$B$12*Population!N$37)+(AM97*Population!$B$11*Population!N$39)+Y98*Population!$L$40</f>
        <v>78.30574274253452</v>
      </c>
      <c r="AN98" s="14">
        <f>(AL97*Population!$B$12*Population!N$39)+(AN97*Population!$B$11*Population!N$41)+Y98*Population!$L$41</f>
        <v>76.988862470638153</v>
      </c>
      <c r="AO98" s="13">
        <f>(AM97*Population!$B$12*Population!N$39)+(AO97*Population!$B$11*Population!N$41)+Y98*Population!$L$42</f>
        <v>76.951496211158272</v>
      </c>
      <c r="AP98" s="15">
        <f>(AN97+AO97)*Population!$B$12*Population!$N$41+AP97*Population!$B$11*Population!$N$43</f>
        <v>146.44913730479055</v>
      </c>
      <c r="AQ98" s="5">
        <f>AP97*Population!N$43*Population!$B$12+AQ97*Population!$B$11*Population!N$44</f>
        <v>138.43517504496941</v>
      </c>
      <c r="AR98" s="5">
        <f>AQ97*Population!N$44*Population!$B$12+AR97*Population!$B$11*Population!N$45</f>
        <v>104.9120534755241</v>
      </c>
      <c r="AS98" s="5">
        <f>(AR97*Population!$B$12+AS97)*Population!N$46</f>
        <v>268.41650253632355</v>
      </c>
    </row>
    <row r="99" spans="1:45">
      <c r="A99">
        <f>A98+Population!$B$2</f>
        <v>96</v>
      </c>
      <c r="B99" s="4">
        <f t="shared" si="32"/>
        <v>1949</v>
      </c>
      <c r="C99" s="54">
        <f t="shared" ref="C99:C115" si="48">FLOOR(B99-I99-G99-SUM(AP99:AS99),1)</f>
        <v>770</v>
      </c>
      <c r="D99" s="12">
        <f>AE98*Population!$Q$32*Population!$C$2+AG98*Population!$Q$34*Population!$C$2+AI98*Population!$Q$36*Population!$C$2+AK98*Population!$Q$38*Population!$C$2+AM98*Population!$Q$40*Population!$C$2+AO97*Population!$Q$42*Population!$C$2</f>
        <v>26.782517838512142</v>
      </c>
      <c r="E99" s="12">
        <f>IF(B98&gt;Population!$B$6*Population!$B$15,Population!$B$8,IF(Population!$J$6=1,D99,Population!$B$8*Population!$B$6*0.9/B98))</f>
        <v>23.761836638153017</v>
      </c>
      <c r="F99" s="12">
        <f>IF(B98&gt;Population!$B$6*0.75,Population!$B$8,E99)</f>
        <v>23.761836638153017</v>
      </c>
      <c r="G99" s="15">
        <f>IF(Population!$J$6=1,IF(E99&gt;H98,H98,E99),IF(E99&gt;X98,X98,E99))</f>
        <v>23.761836638153017</v>
      </c>
      <c r="H99" s="15">
        <f t="shared" si="33"/>
        <v>397</v>
      </c>
      <c r="I99" s="15">
        <f t="shared" si="34"/>
        <v>496</v>
      </c>
      <c r="J99" s="12">
        <f t="shared" si="45"/>
        <v>1.2493702770780857</v>
      </c>
      <c r="K99" s="12">
        <f>AB99*Population!$P$29+AC99*Population!$P$30+AD99*Population!$P$31+AE99*Population!$P$32+AF99*Population!$P$33+AG99*Population!$P$34+AH99*Population!$P$35+AI99*Population!$P$36+AJ99*Population!$P$37+AK99*Population!$P$38+AL99*Population!$P$37+AM99*Population!$P$38+AN99*Population!$P$39+AO99*Population!$P$40+AP99*Population!$P$41+AQ99*Population!$P$42+AR99*Population!$P$43+AS99*Population!$P$44</f>
        <v>4.8888575063252588</v>
      </c>
      <c r="L99" s="12">
        <f t="shared" si="35"/>
        <v>5.9853492791317423E-2</v>
      </c>
      <c r="M99" s="12">
        <f t="shared" si="36"/>
        <v>11.523603514532583</v>
      </c>
      <c r="N99" s="12">
        <f t="shared" si="46"/>
        <v>0.25448948178553105</v>
      </c>
      <c r="O99" s="12">
        <f t="shared" si="37"/>
        <v>753.35246733399731</v>
      </c>
      <c r="P99" s="12">
        <f t="shared" si="38"/>
        <v>207</v>
      </c>
      <c r="Q99" s="12">
        <f t="shared" si="39"/>
        <v>142.82376633300134</v>
      </c>
      <c r="R99" s="12">
        <f t="shared" si="40"/>
        <v>268.41650253632355</v>
      </c>
      <c r="S99" s="12">
        <f t="shared" si="41"/>
        <v>0.13806381311524299</v>
      </c>
      <c r="T99" s="12">
        <f t="shared" si="47"/>
        <v>0.88116817716121243</v>
      </c>
      <c r="U99" s="12">
        <f>Population!$B$13*MIN(Z98:AA98)</f>
        <v>11.875833738144422</v>
      </c>
      <c r="V99" s="12">
        <f>X98*Population!$B$14</f>
        <v>2.0983828587544133</v>
      </c>
      <c r="W99" s="12">
        <f>AO98*T98*Population!$B$12</f>
        <v>9.6841610054575806</v>
      </c>
      <c r="X99" s="12">
        <f t="shared" si="44"/>
        <v>349.82376633300134</v>
      </c>
      <c r="Y99" s="12">
        <f>IF(B98&lt;Vehicle!$B$1*0.75,Vehicle!$B$1*0.01,0)</f>
        <v>0</v>
      </c>
      <c r="Z99" s="14">
        <f t="shared" si="42"/>
        <v>47.542697060000137</v>
      </c>
      <c r="AA99" s="13">
        <f t="shared" si="43"/>
        <v>47.499438689199678</v>
      </c>
      <c r="AB99" s="18">
        <f>(G99+Population!$B$11*AB98)*Population!N$29</f>
        <v>165.86124457037761</v>
      </c>
      <c r="AC99" s="18">
        <f>AB98*Population!$B$12*Population!$N$29+AC98*Population!$B$11*Population!$N$30+Y99*Population!$L$30</f>
        <v>165.56980766575799</v>
      </c>
      <c r="AD99" s="14">
        <f>(AC98*Population!$B$12*0.5*Population!$N$30)+(AD98*Population!$B$11*Population!N$31)+Y99*Population!$L$31</f>
        <v>82.293784804977676</v>
      </c>
      <c r="AE99" s="13">
        <f>(AC98*Population!$B$12*0.5*Population!$N$30)+(AE98*Population!$B$11*Population!N$31)+Y99*Population!$L$32</f>
        <v>82.293784804977676</v>
      </c>
      <c r="AF99" s="14">
        <f>(AD98*Population!$B$12*Population!N$31)+(AF98*Population!$B$11*Population!N$33)+Y99*Population!$L$33</f>
        <v>81.739205258539826</v>
      </c>
      <c r="AG99" s="13">
        <f>(AE98*Population!$B$12*Population!N$31)+(AG98*Population!$B$11*Population!N$33)+Y99*Population!$L$34</f>
        <v>81.739193562047561</v>
      </c>
      <c r="AH99" s="14">
        <f>(AF98*Population!$B$12*Population!N$33)+(AH98*Population!$B$11*Population!N$35)+Y99*Population!$L$35</f>
        <v>80.702455940220219</v>
      </c>
      <c r="AI99" s="13">
        <f>(AG98*Population!$B$12*Population!N$33)+(AI98*Population!$B$11*Population!N$35)+Y99*Population!$L$36</f>
        <v>80.702269379595265</v>
      </c>
      <c r="AJ99" s="14">
        <f>(AH98*Population!$B$12*Population!N$35)+(AJ98*Population!$B$11*Population!N$37)+Y99*Population!$L$37</f>
        <v>79.554871676939001</v>
      </c>
      <c r="AK99" s="13">
        <f>(AI98*Population!$B$12*Population!N$35)+(AK98*Population!$B$11*Population!N$37)+Y99*Population!$L$38</f>
        <v>79.553351793026678</v>
      </c>
      <c r="AL99" s="14">
        <f>(AJ98*Population!$B$12*Population!N$37)+(AL98*Population!$B$11*Population!N$39)+Y99*Population!$L$39</f>
        <v>78.339789922975839</v>
      </c>
      <c r="AM99" s="13">
        <f>(AK98*Population!$B$12*Population!N$37)+(AM98*Population!$B$11*Population!N$39)+Y99*Population!$L$40</f>
        <v>78.331548609379212</v>
      </c>
      <c r="AN99" s="14">
        <f>(AL98*Population!$B$12*Population!N$39)+(AN98*Population!$B$11*Population!N$41)+Y99*Population!$L$41</f>
        <v>77.030140594326639</v>
      </c>
      <c r="AO99" s="13">
        <f>(AM98*Population!$B$12*Population!N$39)+(AO98*Population!$B$11*Population!N$41)+Y99*Population!$L$42</f>
        <v>76.996841678152279</v>
      </c>
      <c r="AP99" s="15">
        <f>(AN98+AO98)*Population!$B$12*Population!$N$41+AP98*Population!$B$11*Population!$N$43</f>
        <v>146.5670113641589</v>
      </c>
      <c r="AQ99" s="5">
        <f>AP98*Population!N$43*Population!$B$12+AQ98*Population!$B$11*Population!N$44</f>
        <v>138.56807160209874</v>
      </c>
      <c r="AR99" s="5">
        <f>AQ98*Population!N$44*Population!$B$12+AR98*Population!$B$11*Population!N$45</f>
        <v>105.01469988993388</v>
      </c>
      <c r="AS99" s="5">
        <f>(AR98*Population!$B$12+AS98)*Population!N$46</f>
        <v>269.08637176160858</v>
      </c>
    </row>
    <row r="100" spans="1:45">
      <c r="A100">
        <f>A99+Population!$B$2</f>
        <v>97</v>
      </c>
      <c r="B100" s="4">
        <f t="shared" si="32"/>
        <v>1951</v>
      </c>
      <c r="C100" s="54">
        <f t="shared" si="48"/>
        <v>771</v>
      </c>
      <c r="D100" s="12">
        <f>AE99*Population!$Q$32*Population!$C$2+AG99*Population!$Q$34*Population!$C$2+AI99*Population!$Q$36*Population!$C$2+AK99*Population!$Q$38*Population!$C$2+AM99*Population!$Q$40*Population!$C$2+AO98*Population!$Q$42*Population!$C$2</f>
        <v>26.786277414106234</v>
      </c>
      <c r="E100" s="12">
        <f>IF(B99&gt;Population!$B$6*Population!$B$15,Population!$B$8,IF(Population!$J$6=1,D100,Population!$B$8*Population!$B$6*0.9/B99))</f>
        <v>23.761836638153017</v>
      </c>
      <c r="F100" s="12">
        <f>IF(B99&gt;Population!$B$6*0.75,Population!$B$8,E100)</f>
        <v>23.761836638153017</v>
      </c>
      <c r="G100" s="15">
        <f>IF(Population!$J$6=1,IF(E100&gt;H99,H99,E100),IF(E100&gt;X99,X99,E100))</f>
        <v>23.761836638153017</v>
      </c>
      <c r="H100" s="15">
        <f t="shared" si="33"/>
        <v>397</v>
      </c>
      <c r="I100" s="15">
        <f t="shared" si="34"/>
        <v>496</v>
      </c>
      <c r="J100" s="12">
        <f t="shared" si="45"/>
        <v>1.2493702770780857</v>
      </c>
      <c r="K100" s="12">
        <f>AB100*Population!$P$29+AC100*Population!$P$30+AD100*Population!$P$31+AE100*Population!$P$32+AF100*Population!$P$33+AG100*Population!$P$34+AH100*Population!$P$35+AI100*Population!$P$36+AJ100*Population!$P$37+AK100*Population!$P$38+AL100*Population!$P$37+AM100*Population!$P$38+AN100*Population!$P$39+AO100*Population!$P$40+AP100*Population!$P$41+AQ100*Population!$P$42+AR100*Population!$P$43+AS100*Population!$P$44</f>
        <v>4.895084267441745</v>
      </c>
      <c r="L100" s="12">
        <f t="shared" si="35"/>
        <v>5.9853492791317423E-2</v>
      </c>
      <c r="M100" s="12">
        <f t="shared" si="36"/>
        <v>11.524384887134445</v>
      </c>
      <c r="N100" s="12">
        <f t="shared" si="46"/>
        <v>0.25422860071758074</v>
      </c>
      <c r="O100" s="12">
        <f t="shared" si="37"/>
        <v>755.18553793645287</v>
      </c>
      <c r="P100" s="12">
        <f t="shared" si="38"/>
        <v>207</v>
      </c>
      <c r="Q100" s="12">
        <f t="shared" si="39"/>
        <v>142.90723103177356</v>
      </c>
      <c r="R100" s="12">
        <f t="shared" si="40"/>
        <v>269.08637176160858</v>
      </c>
      <c r="S100" s="12">
        <f t="shared" ref="S100:S115" si="49">SUM(AS100:AS100)/B100</f>
        <v>0.13825541883817666</v>
      </c>
      <c r="T100" s="12">
        <f t="shared" si="47"/>
        <v>0.88137841569716258</v>
      </c>
      <c r="U100" s="12">
        <f>Population!$B$13*MIN(Z99:AA99)</f>
        <v>11.87485967229992</v>
      </c>
      <c r="V100" s="12">
        <f>X99*Population!$B$14</f>
        <v>2.0989425979980081</v>
      </c>
      <c r="W100" s="12">
        <f>AO99*T99*Population!$B$12</f>
        <v>9.692452375529701</v>
      </c>
      <c r="X100" s="12">
        <f t="shared" si="44"/>
        <v>349.90723103177356</v>
      </c>
      <c r="Y100" s="12">
        <f>IF(B99&lt;Vehicle!$B$1*0.75,Vehicle!$B$1*0.01,0)</f>
        <v>0</v>
      </c>
      <c r="Z100" s="14">
        <f t="shared" ref="Z100:Z115" si="50">(AF100+AH100+AJ100+AL100+AN100)-X100</f>
        <v>47.5372042920946</v>
      </c>
      <c r="AA100" s="13">
        <f t="shared" ref="AA100:AA115" si="51">(AG100+AI100+AK100+AM100+AO100)-X100</f>
        <v>47.498776820663352</v>
      </c>
      <c r="AB100" s="18">
        <f>(G100+Population!$B$11*AB99)*Population!N$29</f>
        <v>165.86125067969112</v>
      </c>
      <c r="AC100" s="18">
        <f>AB99*Population!$B$12*Population!$N$29+AC99*Population!$B$11*Population!$N$30+Y100*Population!$L$30</f>
        <v>165.56989023704017</v>
      </c>
      <c r="AD100" s="14">
        <f>(AC99*Population!$B$12*0.5*Population!$N$30)+(AD99*Population!$B$11*Population!N$31)+Y100*Population!$L$31</f>
        <v>82.294061456838264</v>
      </c>
      <c r="AE100" s="13">
        <f>(AC99*Population!$B$12*0.5*Population!$N$30)+(AE99*Population!$B$11*Population!N$31)+Y100*Population!$L$32</f>
        <v>82.294061456838264</v>
      </c>
      <c r="AF100" s="14">
        <f>(AD99*Population!$B$12*Population!N$31)+(AF99*Population!$B$11*Population!N$33)+Y100*Population!$L$33</f>
        <v>81.740457943375603</v>
      </c>
      <c r="AG100" s="13">
        <f>(AE99*Population!$B$12*Population!N$31)+(AG99*Population!$B$11*Population!N$33)+Y100*Population!$L$34</f>
        <v>81.740447927365167</v>
      </c>
      <c r="AH100" s="14">
        <f>(AF99*Population!$B$12*Population!N$33)+(AH99*Population!$B$11*Population!N$35)+Y100*Population!$L$35</f>
        <v>80.706621592116917</v>
      </c>
      <c r="AI100" s="13">
        <f>(AG99*Population!$B$12*Population!N$33)+(AI99*Population!$B$11*Population!N$35)+Y100*Population!$L$36</f>
        <v>80.706460320700231</v>
      </c>
      <c r="AJ100" s="14">
        <f>(AH99*Population!$B$12*Population!N$35)+(AJ99*Population!$B$11*Population!N$37)+Y100*Population!$L$37</f>
        <v>79.565752166390098</v>
      </c>
      <c r="AK100" s="13">
        <f>(AI99*Population!$B$12*Population!N$35)+(AK99*Population!$B$11*Population!N$37)+Y100*Population!$L$38</f>
        <v>79.564425309698692</v>
      </c>
      <c r="AL100" s="14">
        <f>(AJ99*Population!$B$12*Population!N$37)+(AL99*Population!$B$11*Population!N$39)+Y100*Population!$L$39</f>
        <v>78.362627354465943</v>
      </c>
      <c r="AM100" s="13">
        <f>(AK99*Population!$B$12*Population!N$37)+(AM99*Population!$B$11*Population!N$39)+Y100*Population!$L$40</f>
        <v>78.355360224839899</v>
      </c>
      <c r="AN100" s="14">
        <f>(AL99*Population!$B$12*Population!N$39)+(AN99*Population!$B$11*Population!N$41)+Y100*Population!$L$41</f>
        <v>77.068976267519574</v>
      </c>
      <c r="AO100" s="13">
        <f>(AM99*Population!$B$12*Population!N$39)+(AO99*Population!$B$11*Population!N$41)+Y100*Population!$L$42</f>
        <v>77.03931406983294</v>
      </c>
      <c r="AP100" s="15">
        <f>(AN99+AO99)*Population!$B$12*Population!$N$41+AP99*Population!$B$11*Population!$N$43</f>
        <v>146.67966480816119</v>
      </c>
      <c r="AQ100" s="5">
        <f>AP99*Population!N$43*Population!$B$12+AQ99*Population!$B$11*Population!N$44</f>
        <v>138.69787414709572</v>
      </c>
      <c r="AR100" s="5">
        <f>AQ99*Population!N$44*Population!$B$12+AR99*Population!$B$11*Population!N$45</f>
        <v>105.11708522742144</v>
      </c>
      <c r="AS100" s="5">
        <f>(AR99*Population!$B$12+AS99)*Population!N$46</f>
        <v>269.73632215328269</v>
      </c>
    </row>
    <row r="101" spans="1:45">
      <c r="A101">
        <f>A100+Population!$B$2</f>
        <v>98</v>
      </c>
      <c r="B101" s="4">
        <f t="shared" si="32"/>
        <v>1952</v>
      </c>
      <c r="C101" s="54">
        <f t="shared" si="48"/>
        <v>771</v>
      </c>
      <c r="D101" s="12">
        <f>AE100*Population!$Q$32*Population!$C$2+AG100*Population!$Q$34*Population!$C$2+AI100*Population!$Q$36*Population!$C$2+AK100*Population!$Q$38*Population!$C$2+AM100*Population!$Q$40*Population!$C$2+AO99*Population!$Q$42*Population!$C$2</f>
        <v>26.789739945752071</v>
      </c>
      <c r="E101" s="12">
        <f>IF(B100&gt;Population!$B$6*Population!$B$15,Population!$B$8,IF(Population!$J$6=1,D101,Population!$B$8*Population!$B$6*0.9/B100))</f>
        <v>23.761836638153017</v>
      </c>
      <c r="F101" s="12">
        <f>IF(B100&gt;Population!$B$6*0.75,Population!$B$8,E101)</f>
        <v>23.761836638153017</v>
      </c>
      <c r="G101" s="15">
        <f>IF(Population!$J$6=1,IF(E101&gt;H100,H100,E101),IF(E101&gt;X100,X100,E101))</f>
        <v>23.761836638153017</v>
      </c>
      <c r="H101" s="15">
        <f t="shared" si="33"/>
        <v>397</v>
      </c>
      <c r="I101" s="15">
        <f t="shared" si="34"/>
        <v>496</v>
      </c>
      <c r="J101" s="12">
        <f t="shared" si="45"/>
        <v>1.2493702770780857</v>
      </c>
      <c r="K101" s="12">
        <f>AB101*Population!$P$29+AC101*Population!$P$30+AD101*Population!$P$31+AE101*Population!$P$32+AF101*Population!$P$33+AG101*Population!$P$34+AH101*Population!$P$35+AI101*Population!$P$36+AJ101*Population!$P$37+AK101*Population!$P$38+AL101*Population!$P$37+AM101*Population!$P$38+AN101*Population!$P$39+AO101*Population!$P$40+AP101*Population!$P$41+AQ101*Population!$P$42+AR101*Population!$P$43+AS101*Population!$P$44</f>
        <v>4.9011299825792172</v>
      </c>
      <c r="L101" s="12">
        <f t="shared" si="35"/>
        <v>5.9853492791317423E-2</v>
      </c>
      <c r="M101" s="12">
        <f t="shared" si="36"/>
        <v>11.525092167297556</v>
      </c>
      <c r="N101" s="12">
        <f t="shared" si="46"/>
        <v>0.25409836065573771</v>
      </c>
      <c r="O101" s="12">
        <f t="shared" si="37"/>
        <v>756.03526160743547</v>
      </c>
      <c r="P101" s="12">
        <f t="shared" si="38"/>
        <v>207</v>
      </c>
      <c r="Q101" s="12">
        <f t="shared" si="39"/>
        <v>142.98236919628226</v>
      </c>
      <c r="R101" s="12">
        <f t="shared" si="40"/>
        <v>269.73632215328269</v>
      </c>
      <c r="S101" s="12">
        <f t="shared" si="49"/>
        <v>0.13850785071636593</v>
      </c>
      <c r="T101" s="12">
        <f t="shared" si="47"/>
        <v>0.88156768059516943</v>
      </c>
      <c r="U101" s="12">
        <f>Population!$B$13*MIN(Z100:AA100)</f>
        <v>11.874694205165838</v>
      </c>
      <c r="V101" s="12">
        <f>X100*Population!$B$14</f>
        <v>2.0994433861906416</v>
      </c>
      <c r="W101" s="12">
        <f>AO100*T100*Population!$B$12</f>
        <v>9.7001126544664977</v>
      </c>
      <c r="X101" s="12">
        <f t="shared" si="44"/>
        <v>349.98236919628226</v>
      </c>
      <c r="Y101" s="12">
        <f>IF(B100&lt;Vehicle!$B$1*0.75,Vehicle!$B$1*0.01,0)</f>
        <v>0</v>
      </c>
      <c r="Z101" s="14">
        <f t="shared" si="50"/>
        <v>47.534391746478775</v>
      </c>
      <c r="AA101" s="13">
        <f t="shared" si="51"/>
        <v>47.500267367002436</v>
      </c>
      <c r="AB101" s="18">
        <f>(G101+Population!$B$11*AB100)*Population!N$29</f>
        <v>165.86125591411951</v>
      </c>
      <c r="AC101" s="18">
        <f>AB100*Population!$B$12*Population!$N$29+AC100*Population!$B$11*Population!$N$30+Y101*Population!$L$30</f>
        <v>165.56996186890515</v>
      </c>
      <c r="AD101" s="14">
        <f>(AC100*Population!$B$12*0.5*Population!$N$30)+(AD100*Population!$B$11*Population!N$31)+Y101*Population!$L$31</f>
        <v>82.294304257641116</v>
      </c>
      <c r="AE101" s="13">
        <f>(AC100*Population!$B$12*0.5*Population!$N$30)+(AE100*Population!$B$11*Population!N$31)+Y101*Population!$L$32</f>
        <v>82.294304257641116</v>
      </c>
      <c r="AF101" s="14">
        <f>(AD100*Population!$B$12*Population!N$31)+(AF100*Population!$B$11*Population!N$33)+Y101*Population!$L$33</f>
        <v>81.741570134000469</v>
      </c>
      <c r="AG101" s="13">
        <f>(AE100*Population!$B$12*Population!N$31)+(AG100*Population!$B$11*Population!N$33)+Y101*Population!$L$34</f>
        <v>81.741561557030323</v>
      </c>
      <c r="AH101" s="14">
        <f>(AF100*Population!$B$12*Population!N$33)+(AH100*Population!$B$11*Population!N$35)+Y101*Population!$L$35</f>
        <v>80.710364079845135</v>
      </c>
      <c r="AI101" s="13">
        <f>(AG100*Population!$B$12*Population!N$33)+(AI100*Population!$B$11*Population!N$35)+Y101*Population!$L$36</f>
        <v>80.710224683113907</v>
      </c>
      <c r="AJ101" s="14">
        <f>(AH100*Population!$B$12*Population!N$35)+(AJ100*Population!$B$11*Population!N$37)+Y101*Population!$L$37</f>
        <v>79.575654344577686</v>
      </c>
      <c r="AK101" s="13">
        <f>(AI100*Population!$B$12*Population!N$35)+(AK100*Population!$B$11*Population!N$37)+Y101*Population!$L$38</f>
        <v>79.574496227929842</v>
      </c>
      <c r="AL101" s="14">
        <f>(AJ100*Population!$B$12*Population!N$37)+(AL100*Population!$B$11*Population!N$39)+Y101*Population!$L$39</f>
        <v>78.383716083128974</v>
      </c>
      <c r="AM101" s="13">
        <f>(AK100*Population!$B$12*Population!N$37)+(AM100*Population!$B$11*Population!N$39)+Y101*Population!$L$40</f>
        <v>78.377309887479043</v>
      </c>
      <c r="AN101" s="14">
        <f>(AL100*Population!$B$12*Population!N$39)+(AN100*Population!$B$11*Population!N$41)+Y101*Population!$L$41</f>
        <v>77.105456301208704</v>
      </c>
      <c r="AO101" s="13">
        <f>(AM100*Population!$B$12*Population!N$39)+(AO100*Population!$B$11*Population!N$41)+Y101*Population!$L$42</f>
        <v>77.079044207731627</v>
      </c>
      <c r="AP101" s="15">
        <f>(AN100+AO100)*Population!$B$12*Population!$N$41+AP100*Population!$B$11*Population!$N$43</f>
        <v>146.787117978531</v>
      </c>
      <c r="AQ101" s="5">
        <f>AP100*Population!N$43*Population!$B$12+AQ100*Population!$B$11*Population!N$44</f>
        <v>138.82430351363968</v>
      </c>
      <c r="AR101" s="5">
        <f>AQ100*Population!N$44*Population!$B$12+AR100*Population!$B$11*Population!N$45</f>
        <v>105.21881929284599</v>
      </c>
      <c r="AS101" s="5">
        <f>(AR100*Population!$B$12+AS100)*Population!N$46</f>
        <v>270.36732459834627</v>
      </c>
    </row>
    <row r="102" spans="1:45">
      <c r="A102">
        <f>A101+Population!$B$2</f>
        <v>99</v>
      </c>
      <c r="B102" s="4">
        <f t="shared" si="32"/>
        <v>1953</v>
      </c>
      <c r="C102" s="54">
        <f t="shared" si="48"/>
        <v>771</v>
      </c>
      <c r="D102" s="12">
        <f>AE101*Population!$Q$32*Population!$C$2+AG101*Population!$Q$34*Population!$C$2+AI101*Population!$Q$36*Population!$C$2+AK101*Population!$Q$38*Population!$C$2+AM101*Population!$Q$40*Population!$C$2+AO100*Population!$Q$42*Population!$C$2</f>
        <v>26.792926603044261</v>
      </c>
      <c r="E102" s="12">
        <f>IF(B101&gt;Population!$B$6*Population!$B$15,Population!$B$8,IF(Population!$J$6=1,D102,Population!$B$8*Population!$B$6*0.9/B101))</f>
        <v>23.761836638153017</v>
      </c>
      <c r="F102" s="12">
        <f>IF(B101&gt;Population!$B$6*0.75,Population!$B$8,E102)</f>
        <v>23.761836638153017</v>
      </c>
      <c r="G102" s="15">
        <f>IF(Population!$J$6=1,IF(E102&gt;H101,H101,E102),IF(E102&gt;X101,X101,E102))</f>
        <v>23.761836638153017</v>
      </c>
      <c r="H102" s="15">
        <f t="shared" si="33"/>
        <v>397</v>
      </c>
      <c r="I102" s="15">
        <f t="shared" si="34"/>
        <v>496</v>
      </c>
      <c r="J102" s="12">
        <f t="shared" si="45"/>
        <v>1.2493702770780857</v>
      </c>
      <c r="K102" s="12">
        <f>AB102*Population!$P$29+AC102*Population!$P$30+AD102*Population!$P$31+AE102*Population!$P$32+AF102*Population!$P$33+AG102*Population!$P$34+AH102*Population!$P$35+AI102*Population!$P$36+AJ102*Population!$P$37+AK102*Population!$P$38+AL102*Population!$P$37+AM102*Population!$P$38+AN102*Population!$P$39+AO102*Population!$P$40+AP102*Population!$P$41+AQ102*Population!$P$42+AR102*Population!$P$43+AS102*Population!$P$44</f>
        <v>4.9069994028006629</v>
      </c>
      <c r="L102" s="12">
        <f t="shared" si="35"/>
        <v>5.9853492791317423E-2</v>
      </c>
      <c r="M102" s="12">
        <f t="shared" si="36"/>
        <v>11.525731985596126</v>
      </c>
      <c r="N102" s="12">
        <f t="shared" si="46"/>
        <v>0.25396825396825395</v>
      </c>
      <c r="O102" s="12">
        <f t="shared" si="37"/>
        <v>756.8993147042047</v>
      </c>
      <c r="P102" s="12">
        <f t="shared" si="38"/>
        <v>207</v>
      </c>
      <c r="Q102" s="12">
        <f t="shared" si="39"/>
        <v>143.05034264789765</v>
      </c>
      <c r="R102" s="12">
        <f t="shared" si="40"/>
        <v>270.36732459834627</v>
      </c>
      <c r="S102" s="12">
        <f t="shared" si="49"/>
        <v>0.13875076702945185</v>
      </c>
      <c r="T102" s="12">
        <f t="shared" si="47"/>
        <v>0.88173889835742481</v>
      </c>
      <c r="U102" s="12">
        <f>Population!$B$13*MIN(Z101:AA101)</f>
        <v>11.875066841750609</v>
      </c>
      <c r="V102" s="12">
        <f>X101*Population!$B$14</f>
        <v>2.0998942151776938</v>
      </c>
      <c r="W102" s="12">
        <f>AO101*T101*Population!$B$12</f>
        <v>9.7071991749575002</v>
      </c>
      <c r="X102" s="12">
        <f t="shared" si="44"/>
        <v>350.05034264789765</v>
      </c>
      <c r="Y102" s="12">
        <f>IF(B101&lt;Vehicle!$B$1*0.75,Vehicle!$B$1*0.01,0)</f>
        <v>0</v>
      </c>
      <c r="Z102" s="14">
        <f t="shared" si="50"/>
        <v>47.533439349397554</v>
      </c>
      <c r="AA102" s="13">
        <f t="shared" si="51"/>
        <v>47.503146392187034</v>
      </c>
      <c r="AB102" s="18">
        <f>(G102+Population!$B$11*AB101)*Population!N$29</f>
        <v>165.86126039895083</v>
      </c>
      <c r="AC102" s="18">
        <f>AB101*Population!$B$12*Population!$N$29+AC101*Population!$B$11*Population!$N$30+Y102*Population!$L$30</f>
        <v>165.57002400130375</v>
      </c>
      <c r="AD102" s="14">
        <f>(AC101*Population!$B$12*0.5*Population!$N$30)+(AD101*Population!$B$11*Population!N$31)+Y102*Population!$L$31</f>
        <v>82.294517289691981</v>
      </c>
      <c r="AE102" s="13">
        <f>(AC101*Population!$B$12*0.5*Population!$N$30)+(AE101*Population!$B$11*Population!N$31)+Y102*Population!$L$32</f>
        <v>82.294517289691981</v>
      </c>
      <c r="AF102" s="14">
        <f>(AD101*Population!$B$12*Population!N$31)+(AF101*Population!$B$11*Population!N$33)+Y102*Population!$L$33</f>
        <v>81.74255718452288</v>
      </c>
      <c r="AG102" s="13">
        <f>(AE101*Population!$B$12*Population!N$31)+(AG101*Population!$B$11*Population!N$33)+Y102*Population!$L$34</f>
        <v>81.742549839840351</v>
      </c>
      <c r="AH102" s="14">
        <f>(AF101*Population!$B$12*Population!N$33)+(AH101*Population!$B$11*Population!N$35)+Y102*Population!$L$35</f>
        <v>80.713724500361977</v>
      </c>
      <c r="AI102" s="13">
        <f>(AG101*Population!$B$12*Population!N$33)+(AI101*Population!$B$11*Population!N$35)+Y102*Population!$L$36</f>
        <v>80.713604022742928</v>
      </c>
      <c r="AJ102" s="14">
        <f>(AH101*Population!$B$12*Population!N$35)+(AJ101*Population!$B$11*Population!N$37)+Y102*Population!$L$37</f>
        <v>79.584659244318345</v>
      </c>
      <c r="AK102" s="13">
        <f>(AI101*Population!$B$12*Population!N$35)+(AK101*Population!$B$11*Population!N$37)+Y102*Population!$L$38</f>
        <v>79.583648603250793</v>
      </c>
      <c r="AL102" s="14">
        <f>(AJ101*Population!$B$12*Population!N$37)+(AL101*Population!$B$11*Population!N$39)+Y102*Population!$L$39</f>
        <v>78.40316931110462</v>
      </c>
      <c r="AM102" s="13">
        <f>(AK101*Population!$B$12*Population!N$37)+(AM101*Population!$B$11*Population!N$39)+Y102*Population!$L$40</f>
        <v>78.397523701448961</v>
      </c>
      <c r="AN102" s="14">
        <f>(AL101*Population!$B$12*Population!N$39)+(AN101*Population!$B$11*Population!N$41)+Y102*Population!$L$41</f>
        <v>77.139671756987383</v>
      </c>
      <c r="AO102" s="13">
        <f>(AM101*Population!$B$12*Population!N$39)+(AO101*Population!$B$11*Population!N$41)+Y102*Population!$L$42</f>
        <v>77.116162872801681</v>
      </c>
      <c r="AP102" s="15">
        <f>(AN101+AO101)*Population!$B$12*Population!$N$41+AP101*Population!$B$11*Population!$N$43</f>
        <v>146.88941921529758</v>
      </c>
      <c r="AQ102" s="5">
        <f>AP101*Population!N$43*Population!$B$12+AQ101*Population!$B$11*Population!N$44</f>
        <v>138.94712503602594</v>
      </c>
      <c r="AR102" s="5">
        <f>AQ101*Population!N$44*Population!$B$12+AR101*Population!$B$11*Population!N$45</f>
        <v>105.31954493802776</v>
      </c>
      <c r="AS102" s="5">
        <f>(AR101*Population!$B$12+AS101)*Population!N$46</f>
        <v>270.98024800851948</v>
      </c>
    </row>
    <row r="103" spans="1:45">
      <c r="A103">
        <f>A102+Population!$B$2</f>
        <v>100</v>
      </c>
      <c r="B103" s="4">
        <f t="shared" si="32"/>
        <v>1954</v>
      </c>
      <c r="C103" s="54">
        <f t="shared" si="48"/>
        <v>771</v>
      </c>
      <c r="D103" s="12">
        <f>AE102*Population!$Q$32*Population!$C$2+AG102*Population!$Q$34*Population!$C$2+AI102*Population!$Q$36*Population!$C$2+AK102*Population!$Q$38*Population!$C$2+AM102*Population!$Q$40*Population!$C$2+AO101*Population!$Q$42*Population!$C$2</f>
        <v>26.79585729383594</v>
      </c>
      <c r="E103" s="12">
        <f>IF(B102&gt;Population!$B$6*Population!$B$15,Population!$B$8,IF(Population!$J$6=1,D103,Population!$B$8*Population!$B$6*0.9/B102))</f>
        <v>23.761836638153017</v>
      </c>
      <c r="F103" s="12">
        <f>IF(B102&gt;Population!$B$6*0.75,Population!$B$8,E103)</f>
        <v>23.761836638153017</v>
      </c>
      <c r="G103" s="15">
        <f>IF(Population!$J$6=1,IF(E103&gt;H102,H102,E103),IF(E103&gt;X102,X102,E103))</f>
        <v>23.761836638153017</v>
      </c>
      <c r="H103" s="15">
        <f t="shared" si="33"/>
        <v>397</v>
      </c>
      <c r="I103" s="15">
        <f t="shared" si="34"/>
        <v>496</v>
      </c>
      <c r="J103" s="12">
        <f t="shared" si="45"/>
        <v>1.2493702770780857</v>
      </c>
      <c r="K103" s="12">
        <f>AB103*Population!$P$29+AC103*Population!$P$30+AD103*Population!$P$31+AE103*Population!$P$32+AF103*Population!$P$33+AG103*Population!$P$34+AH103*Population!$P$35+AI103*Population!$P$36+AJ103*Population!$P$37+AK103*Population!$P$38+AL103*Population!$P$37+AM103*Population!$P$38+AN103*Population!$P$39+AO103*Population!$P$40+AP103*Population!$P$41+AQ103*Population!$P$42+AR103*Population!$P$43+AS103*Population!$P$44</f>
        <v>4.9126969186740217</v>
      </c>
      <c r="L103" s="12">
        <f t="shared" si="35"/>
        <v>5.9853492791317423E-2</v>
      </c>
      <c r="M103" s="12">
        <f t="shared" si="36"/>
        <v>11.526310427878938</v>
      </c>
      <c r="N103" s="12">
        <f t="shared" si="46"/>
        <v>0.25383828045035822</v>
      </c>
      <c r="O103" s="12">
        <f t="shared" si="37"/>
        <v>757.77586576189049</v>
      </c>
      <c r="P103" s="12">
        <f t="shared" si="38"/>
        <v>207</v>
      </c>
      <c r="Q103" s="12">
        <f t="shared" si="39"/>
        <v>143.11206711905476</v>
      </c>
      <c r="R103" s="12">
        <f t="shared" si="40"/>
        <v>270.98024800851948</v>
      </c>
      <c r="S103" s="12">
        <f t="shared" si="49"/>
        <v>0.13898457981295967</v>
      </c>
      <c r="T103" s="12">
        <f t="shared" si="47"/>
        <v>0.88189437561474748</v>
      </c>
      <c r="U103" s="12">
        <f>Population!$B$13*MIN(Z102:AA102)</f>
        <v>11.875786598046759</v>
      </c>
      <c r="V103" s="12">
        <f>X102*Population!$B$14</f>
        <v>2.1003020558873859</v>
      </c>
      <c r="W103" s="12">
        <f>AO102*T102*Population!$B$12</f>
        <v>9.7137600710022713</v>
      </c>
      <c r="X103" s="12">
        <f t="shared" si="44"/>
        <v>350.11206711905476</v>
      </c>
      <c r="Y103" s="12">
        <f>IF(B102&lt;Vehicle!$B$1*0.75,Vehicle!$B$1*0.01,0)</f>
        <v>0</v>
      </c>
      <c r="Z103" s="14">
        <f t="shared" si="50"/>
        <v>47.533760073531766</v>
      </c>
      <c r="AA103" s="13">
        <f t="shared" si="51"/>
        <v>47.50687723557229</v>
      </c>
      <c r="AB103" s="18">
        <f>(G103+Population!$B$11*AB102)*Population!N$29</f>
        <v>165.86126424153125</v>
      </c>
      <c r="AC103" s="18">
        <f>AB102*Population!$B$12*Population!$N$29+AC102*Population!$B$11*Population!$N$30+Y103*Population!$L$30</f>
        <v>165.5700778860928</v>
      </c>
      <c r="AD103" s="14">
        <f>(AC102*Population!$B$12*0.5*Population!$N$30)+(AD102*Population!$B$11*Population!N$31)+Y103*Population!$L$31</f>
        <v>82.294704151605885</v>
      </c>
      <c r="AE103" s="13">
        <f>(AC102*Population!$B$12*0.5*Population!$N$30)+(AE102*Population!$B$11*Population!N$31)+Y103*Population!$L$32</f>
        <v>82.294704151605885</v>
      </c>
      <c r="AF103" s="14">
        <f>(AD102*Population!$B$12*Population!N$31)+(AF102*Population!$B$11*Population!N$33)+Y103*Population!$L$33</f>
        <v>81.743432825695876</v>
      </c>
      <c r="AG103" s="13">
        <f>(AE102*Population!$B$12*Population!N$31)+(AG102*Population!$B$11*Population!N$33)+Y103*Population!$L$34</f>
        <v>81.743426536253267</v>
      </c>
      <c r="AH103" s="14">
        <f>(AF102*Population!$B$12*Population!N$33)+(AH102*Population!$B$11*Population!N$35)+Y103*Population!$L$35</f>
        <v>80.716740203350525</v>
      </c>
      <c r="AI103" s="13">
        <f>(AG102*Population!$B$12*Population!N$33)+(AI102*Population!$B$11*Population!N$35)+Y103*Population!$L$36</f>
        <v>80.716636086851224</v>
      </c>
      <c r="AJ103" s="14">
        <f>(AH102*Population!$B$12*Population!N$35)+(AJ102*Population!$B$11*Population!N$37)+Y103*Population!$L$37</f>
        <v>79.592842048676687</v>
      </c>
      <c r="AK103" s="13">
        <f>(AI102*Population!$B$12*Population!N$35)+(AK102*Population!$B$11*Population!N$37)+Y103*Population!$L$38</f>
        <v>79.59196027008781</v>
      </c>
      <c r="AL103" s="14">
        <f>(AJ102*Population!$B$12*Population!N$37)+(AL102*Population!$B$11*Population!N$39)+Y103*Population!$L$39</f>
        <v>78.421095436390431</v>
      </c>
      <c r="AM103" s="13">
        <f>(AK102*Population!$B$12*Population!N$37)+(AM102*Population!$B$11*Population!N$39)+Y103*Population!$L$40</f>
        <v>78.416121533369378</v>
      </c>
      <c r="AN103" s="14">
        <f>(AL102*Population!$B$12*Population!N$39)+(AN102*Population!$B$11*Population!N$41)+Y103*Population!$L$41</f>
        <v>77.171716678473004</v>
      </c>
      <c r="AO103" s="13">
        <f>(AM102*Population!$B$12*Population!N$39)+(AO102*Population!$B$11*Population!N$41)+Y103*Population!$L$42</f>
        <v>77.150799928065368</v>
      </c>
      <c r="AP103" s="15">
        <f>(AN102+AO102)*Population!$B$12*Population!$N$41+AP102*Population!$B$11*Population!$N$43</f>
        <v>146.98664128331714</v>
      </c>
      <c r="AQ103" s="5">
        <f>AP102*Population!N$43*Population!$B$12+AQ102*Population!$B$11*Population!N$44</f>
        <v>139.06614588615361</v>
      </c>
      <c r="AR103" s="5">
        <f>AQ102*Population!N$44*Population!$B$12+AR102*Population!$B$11*Population!N$45</f>
        <v>105.41893822086664</v>
      </c>
      <c r="AS103" s="5">
        <f>(AR102*Population!$B$12+AS102)*Population!N$46</f>
        <v>271.57586895452317</v>
      </c>
    </row>
    <row r="104" spans="1:45">
      <c r="A104">
        <f>A103+Population!$B$2</f>
        <v>101</v>
      </c>
      <c r="B104" s="4">
        <f t="shared" si="32"/>
        <v>1955</v>
      </c>
      <c r="C104" s="54">
        <f t="shared" si="48"/>
        <v>771</v>
      </c>
      <c r="D104" s="12">
        <f>AE103*Population!$Q$32*Population!$C$2+AG103*Population!$Q$34*Population!$C$2+AI103*Population!$Q$36*Population!$C$2+AK103*Population!$Q$38*Population!$C$2+AM103*Population!$Q$40*Population!$C$2+AO102*Population!$Q$42*Population!$C$2</f>
        <v>26.798550712199152</v>
      </c>
      <c r="E104" s="12">
        <f>IF(B103&gt;Population!$B$6*Population!$B$15,Population!$B$8,IF(Population!$J$6=1,D104,Population!$B$8*Population!$B$6*0.9/B103))</f>
        <v>23.761836638153017</v>
      </c>
      <c r="F104" s="12">
        <f>IF(B103&gt;Population!$B$6*0.75,Population!$B$8,E104)</f>
        <v>23.761836638153017</v>
      </c>
      <c r="G104" s="15">
        <f>IF(Population!$J$6=1,IF(E104&gt;H103,H103,E104),IF(E104&gt;X103,X103,E104))</f>
        <v>23.761836638153017</v>
      </c>
      <c r="H104" s="15">
        <f t="shared" ref="H104:H110" si="52">FLOOR(AG104+AI104+AK104+AM104+AO104,1)</f>
        <v>397</v>
      </c>
      <c r="I104" s="15">
        <f t="shared" ref="I104:I110" si="53">FLOOR(SUM(AB104:AE104),1)</f>
        <v>496</v>
      </c>
      <c r="J104" s="12">
        <f t="shared" ref="J104:J110" si="54">I104/H104</f>
        <v>1.2493702770780857</v>
      </c>
      <c r="K104" s="12">
        <f>AB104*Population!$P$29+AC104*Population!$P$30+AD104*Population!$P$31+AE104*Population!$P$32+AF104*Population!$P$33+AG104*Population!$P$34+AH104*Population!$P$35+AI104*Population!$P$36+AJ104*Population!$P$37+AK104*Population!$P$38+AL104*Population!$P$37+AM104*Population!$P$38+AN104*Population!$P$39+AO104*Population!$P$40+AP104*Population!$P$41+AQ104*Population!$P$42+AR104*Population!$P$43+AS104*Population!$P$44</f>
        <v>4.9182266122759781</v>
      </c>
      <c r="L104" s="12">
        <f t="shared" si="35"/>
        <v>5.9853492791317423E-2</v>
      </c>
      <c r="M104" s="12">
        <f t="shared" ref="M104:M110" si="55">(AF104+AG104+AH104+AI104+AJ104+AK104)/21*0.5</f>
        <v>11.526833073931586</v>
      </c>
      <c r="N104" s="12">
        <f t="shared" si="46"/>
        <v>0.2537084398976982</v>
      </c>
      <c r="O104" s="12">
        <f t="shared" si="37"/>
        <v>758.66344524402996</v>
      </c>
      <c r="P104" s="12">
        <f t="shared" si="38"/>
        <v>207</v>
      </c>
      <c r="Q104" s="12">
        <f t="shared" si="39"/>
        <v>143.16827737798502</v>
      </c>
      <c r="R104" s="12">
        <f t="shared" ref="R104:R110" si="56">SUM(AS103:AS103)</f>
        <v>271.57586895452317</v>
      </c>
      <c r="S104" s="12">
        <f t="shared" si="49"/>
        <v>0.13920965771622454</v>
      </c>
      <c r="T104" s="12">
        <f t="shared" ref="T104:T110" si="57">X104/H104</f>
        <v>0.88203596316872801</v>
      </c>
      <c r="U104" s="12">
        <f>Population!$B$13*MIN(Z103:AA103)</f>
        <v>11.876719308893072</v>
      </c>
      <c r="V104" s="12">
        <f>X103*Population!$B$14</f>
        <v>2.1006724027143284</v>
      </c>
      <c r="W104" s="12">
        <f>AO103*T103*Population!$B$12</f>
        <v>9.7198366472485009</v>
      </c>
      <c r="X104" s="12">
        <f t="shared" ref="X104:X110" si="58">X103+U104-W104-V104</f>
        <v>350.16827737798502</v>
      </c>
      <c r="Y104" s="12">
        <f>IF(B103&lt;Vehicle!$B$1*0.75,Vehicle!$B$1*0.01,0)</f>
        <v>0</v>
      </c>
      <c r="Z104" s="14">
        <f t="shared" si="50"/>
        <v>47.534934342519762</v>
      </c>
      <c r="AA104" s="13">
        <f t="shared" si="51"/>
        <v>47.511085483562567</v>
      </c>
      <c r="AB104" s="18">
        <f>(G104+Population!$B$11*AB103)*Population!N$29</f>
        <v>165.86126753383439</v>
      </c>
      <c r="AC104" s="18">
        <f>AB103*Population!$B$12*Population!$N$29+AC103*Population!$B$11*Population!$N$30+Y104*Population!$L$30</f>
        <v>165.57012461137998</v>
      </c>
      <c r="AD104" s="14">
        <f>(AC103*Population!$B$12*0.5*Population!$N$30)+(AD103*Population!$B$11*Population!N$31)+Y104*Population!$L$31</f>
        <v>82.29486801436866</v>
      </c>
      <c r="AE104" s="13">
        <f>(AC103*Population!$B$12*0.5*Population!$N$30)+(AE103*Population!$B$11*Population!N$31)+Y104*Population!$L$32</f>
        <v>82.29486801436866</v>
      </c>
      <c r="AF104" s="14">
        <f>(AD103*Population!$B$12*Population!N$31)+(AF103*Population!$B$11*Population!N$33)+Y104*Population!$L$33</f>
        <v>81.744209329118192</v>
      </c>
      <c r="AG104" s="13">
        <f>(AE103*Population!$B$12*Population!N$31)+(AG103*Population!$B$11*Population!N$33)+Y104*Population!$L$34</f>
        <v>81.744203943304967</v>
      </c>
      <c r="AH104" s="14">
        <f>(AF103*Population!$B$12*Population!N$33)+(AH103*Population!$B$11*Population!N$35)+Y104*Population!$L$35</f>
        <v>80.719445101024789</v>
      </c>
      <c r="AI104" s="13">
        <f>(AG103*Population!$B$12*Population!N$33)+(AI103*Population!$B$11*Population!N$35)+Y104*Population!$L$36</f>
        <v>80.71935513202159</v>
      </c>
      <c r="AJ104" s="14">
        <f>(AH103*Population!$B$12*Population!N$35)+(AJ103*Population!$B$11*Population!N$37)+Y104*Population!$L$37</f>
        <v>79.600272401974209</v>
      </c>
      <c r="AK104" s="13">
        <f>(AI103*Population!$B$12*Population!N$35)+(AK103*Population!$B$11*Population!N$37)+Y104*Population!$L$38</f>
        <v>79.599503197682836</v>
      </c>
      <c r="AL104" s="14">
        <f>(AJ103*Population!$B$12*Population!N$37)+(AL103*Population!$B$11*Population!N$39)+Y104*Population!$L$39</f>
        <v>78.437597912979811</v>
      </c>
      <c r="AM104" s="13">
        <f>(AK103*Population!$B$12*Population!N$37)+(AM103*Population!$B$11*Population!N$39)+Y104*Population!$L$40</f>
        <v>78.433217026645877</v>
      </c>
      <c r="AN104" s="14">
        <f>(AL103*Population!$B$12*Population!N$39)+(AN103*Population!$B$11*Population!N$41)+Y104*Population!$L$41</f>
        <v>77.201686975407796</v>
      </c>
      <c r="AO104" s="13">
        <f>(AM103*Population!$B$12*Population!N$39)+(AO103*Population!$B$11*Population!N$41)+Y104*Population!$L$42</f>
        <v>77.183083561892317</v>
      </c>
      <c r="AP104" s="15">
        <f>(AN103+AO103)*Population!$B$12*Population!$N$41+AP103*Population!$B$11*Population!$N$43</f>
        <v>147.07887802553321</v>
      </c>
      <c r="AQ104" s="5">
        <f>AP103*Population!N$43*Population!$B$12+AQ103*Population!$B$11*Population!N$44</f>
        <v>139.18121230069815</v>
      </c>
      <c r="AR104" s="5">
        <f>AQ103*Population!N$44*Population!$B$12+AR103*Population!$B$11*Population!N$45</f>
        <v>105.5167081571671</v>
      </c>
      <c r="AS104" s="5">
        <f>(AR103*Population!$B$12+AS103)*Population!N$46</f>
        <v>272.15488083521899</v>
      </c>
    </row>
    <row r="105" spans="1:45">
      <c r="A105">
        <f>A104+Population!$B$2</f>
        <v>102</v>
      </c>
      <c r="B105" s="4">
        <f t="shared" si="32"/>
        <v>1956</v>
      </c>
      <c r="C105" s="54">
        <f t="shared" si="48"/>
        <v>771</v>
      </c>
      <c r="D105" s="12">
        <f>AE104*Population!$Q$32*Population!$C$2+AG104*Population!$Q$34*Population!$C$2+AI104*Population!$Q$36*Population!$C$2+AK104*Population!$Q$38*Population!$C$2+AM104*Population!$Q$40*Population!$C$2+AO103*Population!$Q$42*Population!$C$2</f>
        <v>26.801024387883878</v>
      </c>
      <c r="E105" s="12">
        <f>IF(B104&gt;Population!$B$6*Population!$B$15,Population!$B$8,IF(Population!$J$6=1,D105,Population!$B$8*Population!$B$6*0.9/B104))</f>
        <v>23.761836638153017</v>
      </c>
      <c r="F105" s="12">
        <f>IF(B104&gt;Population!$B$6*0.75,Population!$B$8,E105)</f>
        <v>23.761836638153017</v>
      </c>
      <c r="G105" s="15">
        <f>IF(Population!$J$6=1,IF(E105&gt;H104,H104,E105),IF(E105&gt;X104,X104,E105))</f>
        <v>23.761836638153017</v>
      </c>
      <c r="H105" s="15">
        <f t="shared" si="52"/>
        <v>397</v>
      </c>
      <c r="I105" s="15">
        <f t="shared" si="53"/>
        <v>496</v>
      </c>
      <c r="J105" s="12">
        <f t="shared" si="54"/>
        <v>1.2493702770780857</v>
      </c>
      <c r="K105" s="12">
        <f>AB105*Population!$P$29+AC105*Population!$P$30+AD105*Population!$P$31+AE105*Population!$P$32+AF105*Population!$P$33+AG105*Population!$P$34+AH105*Population!$P$35+AI105*Population!$P$36+AJ105*Population!$P$37+AK105*Population!$P$38+AL105*Population!$P$37+AM105*Population!$P$38+AN105*Population!$P$39+AO105*Population!$P$40+AP105*Population!$P$41+AQ105*Population!$P$42+AR105*Population!$P$43+AS105*Population!$P$44</f>
        <v>4.9235923039675269</v>
      </c>
      <c r="L105" s="12">
        <f t="shared" si="35"/>
        <v>5.9853492791317423E-2</v>
      </c>
      <c r="M105" s="12">
        <f t="shared" si="55"/>
        <v>11.527305034188949</v>
      </c>
      <c r="N105" s="12">
        <f t="shared" si="46"/>
        <v>0.25357873210633947</v>
      </c>
      <c r="O105" s="12">
        <f t="shared" si="37"/>
        <v>759.560851959312</v>
      </c>
      <c r="P105" s="12">
        <f t="shared" si="38"/>
        <v>207</v>
      </c>
      <c r="Q105" s="12">
        <f t="shared" si="39"/>
        <v>143.219574020344</v>
      </c>
      <c r="R105" s="12">
        <f t="shared" si="56"/>
        <v>272.15488083521899</v>
      </c>
      <c r="S105" s="12">
        <f t="shared" si="49"/>
        <v>0.13942633054696413</v>
      </c>
      <c r="T105" s="12">
        <f t="shared" si="57"/>
        <v>0.88216517385477078</v>
      </c>
      <c r="U105" s="12">
        <f>Population!$B$13*MIN(Z104:AA104)</f>
        <v>11.877771370890642</v>
      </c>
      <c r="V105" s="12">
        <f>X104*Population!$B$14</f>
        <v>2.1010096642679104</v>
      </c>
      <c r="W105" s="12">
        <f>AO104*T104*Population!$B$12</f>
        <v>9.7254650642637301</v>
      </c>
      <c r="X105" s="12">
        <f t="shared" si="58"/>
        <v>350.219574020344</v>
      </c>
      <c r="Y105" s="12">
        <f>IF(B104&lt;Vehicle!$B$1*0.75,Vehicle!$B$1*0.01,0)</f>
        <v>0</v>
      </c>
      <c r="Z105" s="14">
        <f t="shared" si="50"/>
        <v>47.536662936755306</v>
      </c>
      <c r="AA105" s="13">
        <f t="shared" si="51"/>
        <v>47.515512390250819</v>
      </c>
      <c r="AB105" s="18">
        <f>(G105+Population!$B$11*AB104)*Population!N$29</f>
        <v>165.86127035466279</v>
      </c>
      <c r="AC105" s="18">
        <f>AB104*Population!$B$12*Population!$N$29+AC104*Population!$B$11*Population!$N$30+Y105*Population!$L$30</f>
        <v>165.57016512275288</v>
      </c>
      <c r="AD105" s="14">
        <f>(AC104*Population!$B$12*0.5*Population!$N$30)+(AD104*Population!$B$11*Population!N$31)+Y105*Population!$L$31</f>
        <v>82.295011671082435</v>
      </c>
      <c r="AE105" s="13">
        <f>(AC104*Population!$B$12*0.5*Population!$N$30)+(AE104*Population!$B$11*Population!N$31)+Y105*Population!$L$32</f>
        <v>82.295011671082435</v>
      </c>
      <c r="AF105" s="14">
        <f>(AD104*Population!$B$12*Population!N$31)+(AF104*Population!$B$11*Population!N$33)+Y105*Population!$L$33</f>
        <v>81.744897655845193</v>
      </c>
      <c r="AG105" s="13">
        <f>(AE104*Population!$B$12*Population!N$31)+(AG104*Population!$B$11*Population!N$33)+Y105*Population!$L$34</f>
        <v>81.744893043833287</v>
      </c>
      <c r="AH105" s="14">
        <f>(AF104*Population!$B$12*Population!N$33)+(AH104*Population!$B$11*Population!N$35)+Y105*Population!$L$35</f>
        <v>80.721869956601793</v>
      </c>
      <c r="AI105" s="13">
        <f>(AG104*Population!$B$12*Population!N$33)+(AI104*Population!$B$11*Population!N$35)+Y105*Population!$L$36</f>
        <v>80.721792219707936</v>
      </c>
      <c r="AJ105" s="14">
        <f>(AH104*Population!$B$12*Population!N$35)+(AJ104*Population!$B$11*Population!N$37)+Y105*Population!$L$37</f>
        <v>79.607014720029341</v>
      </c>
      <c r="AK105" s="13">
        <f>(AI104*Population!$B$12*Population!N$35)+(AK104*Population!$B$11*Population!N$37)+Y105*Population!$L$38</f>
        <v>79.606343839918267</v>
      </c>
      <c r="AL105" s="14">
        <f>(AJ104*Population!$B$12*Population!N$37)+(AL104*Population!$B$11*Population!N$39)+Y105*Population!$L$39</f>
        <v>78.452775175554819</v>
      </c>
      <c r="AM105" s="13">
        <f>(AK104*Population!$B$12*Population!N$37)+(AM104*Population!$B$11*Population!N$39)+Y105*Population!$L$40</f>
        <v>78.448917664467388</v>
      </c>
      <c r="AN105" s="14">
        <f>(AL104*Population!$B$12*Population!N$39)+(AN104*Population!$B$11*Population!N$41)+Y105*Population!$L$41</f>
        <v>77.229679449068144</v>
      </c>
      <c r="AO105" s="13">
        <f>(AM104*Population!$B$12*Population!N$39)+(AO104*Population!$B$11*Population!N$41)+Y105*Population!$L$42</f>
        <v>77.213139642667954</v>
      </c>
      <c r="AP105" s="15">
        <f>(AN104+AO104)*Population!$B$12*Population!$N$41+AP104*Population!$B$11*Population!$N$43</f>
        <v>147.16624124813674</v>
      </c>
      <c r="AQ105" s="5">
        <f>AP104*Population!N$43*Population!$B$12+AQ104*Population!$B$11*Population!N$44</f>
        <v>139.29220674699383</v>
      </c>
      <c r="AR105" s="5">
        <f>AQ104*Population!N$44*Population!$B$12+AR104*Population!$B$11*Population!N$45</f>
        <v>105.61259612541718</v>
      </c>
      <c r="AS105" s="5">
        <f>(AR104*Population!$B$12+AS104)*Population!N$46</f>
        <v>272.71790254986183</v>
      </c>
    </row>
    <row r="106" spans="1:45">
      <c r="A106">
        <f>A105+Population!$B$2</f>
        <v>103</v>
      </c>
      <c r="B106" s="4">
        <f t="shared" si="32"/>
        <v>1957</v>
      </c>
      <c r="C106" s="54">
        <f t="shared" si="48"/>
        <v>771</v>
      </c>
      <c r="D106" s="12">
        <f>AE105*Population!$Q$32*Population!$C$2+AG105*Population!$Q$34*Population!$C$2+AI105*Population!$Q$36*Population!$C$2+AK105*Population!$Q$38*Population!$C$2+AM105*Population!$Q$40*Population!$C$2+AO104*Population!$Q$42*Population!$C$2</f>
        <v>26.803294736721856</v>
      </c>
      <c r="E106" s="12">
        <f>IF(B105&gt;Population!$B$6*Population!$B$15,Population!$B$8,IF(Population!$J$6=1,D106,Population!$B$8*Population!$B$6*0.9/B105))</f>
        <v>23.761836638153017</v>
      </c>
      <c r="F106" s="12">
        <f>IF(B105&gt;Population!$B$6*0.75,Population!$B$8,E106)</f>
        <v>23.761836638153017</v>
      </c>
      <c r="G106" s="15">
        <f>IF(Population!$J$6=1,IF(E106&gt;H105,H105,E106),IF(E106&gt;X105,X105,E106))</f>
        <v>23.761836638153017</v>
      </c>
      <c r="H106" s="15">
        <f t="shared" si="52"/>
        <v>397</v>
      </c>
      <c r="I106" s="15">
        <f t="shared" si="53"/>
        <v>496</v>
      </c>
      <c r="J106" s="12">
        <f t="shared" si="54"/>
        <v>1.2493702770780857</v>
      </c>
      <c r="K106" s="12">
        <f>AB106*Population!$P$29+AC106*Population!$P$30+AD106*Population!$P$31+AE106*Population!$P$32+AF106*Population!$P$33+AG106*Population!$P$34+AH106*Population!$P$35+AI106*Population!$P$36+AJ106*Population!$P$37+AK106*Population!$P$38+AL106*Population!$P$37+AM106*Population!$P$38+AN106*Population!$P$39+AO106*Population!$P$40+AP106*Population!$P$41+AQ106*Population!$P$42+AR106*Population!$P$43+AS106*Population!$P$44</f>
        <v>4.9287975941959665</v>
      </c>
      <c r="L106" s="12">
        <f t="shared" si="35"/>
        <v>5.9853492791317423E-2</v>
      </c>
      <c r="M106" s="12">
        <f t="shared" si="55"/>
        <v>11.527730984481309</v>
      </c>
      <c r="N106" s="12">
        <f t="shared" si="46"/>
        <v>0.25344915687276443</v>
      </c>
      <c r="O106" s="12">
        <f t="shared" si="37"/>
        <v>760.46708572578689</v>
      </c>
      <c r="P106" s="12">
        <f t="shared" si="38"/>
        <v>207</v>
      </c>
      <c r="Q106" s="12">
        <f t="shared" si="39"/>
        <v>143.26645713710656</v>
      </c>
      <c r="R106" s="12">
        <f t="shared" si="56"/>
        <v>272.71790254986183</v>
      </c>
      <c r="S106" s="12">
        <f t="shared" si="49"/>
        <v>0.13963489353678815</v>
      </c>
      <c r="T106" s="12">
        <f t="shared" si="57"/>
        <v>0.88228326734787543</v>
      </c>
      <c r="U106" s="12">
        <f>Population!$B$13*MIN(Z105:AA105)</f>
        <v>11.878878097562705</v>
      </c>
      <c r="V106" s="12">
        <f>X105*Population!$B$14</f>
        <v>2.1013174441220639</v>
      </c>
      <c r="W106" s="12">
        <f>AO105*T105*Population!$B$12</f>
        <v>9.7306775366781224</v>
      </c>
      <c r="X106" s="12">
        <f t="shared" si="58"/>
        <v>350.26645713710656</v>
      </c>
      <c r="Y106" s="12">
        <f>IF(B105&lt;Vehicle!$B$1*0.75,Vehicle!$B$1*0.01,0)</f>
        <v>0</v>
      </c>
      <c r="Z106" s="14">
        <f t="shared" si="50"/>
        <v>47.538733169701743</v>
      </c>
      <c r="AA106" s="13">
        <f t="shared" si="51"/>
        <v>47.519981520639874</v>
      </c>
      <c r="AB106" s="18">
        <f>(G106+Population!$B$11*AB105)*Population!N$29</f>
        <v>165.86127277153406</v>
      </c>
      <c r="AC106" s="18">
        <f>AB105*Population!$B$12*Population!$N$29+AC105*Population!$B$11*Population!$N$30+Y106*Population!$L$30</f>
        <v>165.57020024178578</v>
      </c>
      <c r="AD106" s="14">
        <f>(AC105*Population!$B$12*0.5*Population!$N$30)+(AD105*Population!$B$11*Population!N$31)+Y106*Population!$L$31</f>
        <v>82.295137581079928</v>
      </c>
      <c r="AE106" s="13">
        <f>(AC105*Population!$B$12*0.5*Population!$N$30)+(AE105*Population!$B$11*Population!N$31)+Y106*Population!$L$32</f>
        <v>82.295137581079928</v>
      </c>
      <c r="AF106" s="14">
        <f>(AD105*Population!$B$12*Population!N$31)+(AF105*Population!$B$11*Population!N$33)+Y106*Population!$L$33</f>
        <v>81.745507590747863</v>
      </c>
      <c r="AG106" s="13">
        <f>(AE105*Population!$B$12*Population!N$31)+(AG105*Population!$B$11*Population!N$33)+Y106*Population!$L$34</f>
        <v>81.745503641362149</v>
      </c>
      <c r="AH106" s="14">
        <f>(AF105*Population!$B$12*Population!N$33)+(AH105*Population!$B$11*Population!N$35)+Y106*Population!$L$35</f>
        <v>80.72404265229855</v>
      </c>
      <c r="AI106" s="13">
        <f>(AG105*Population!$B$12*Population!N$33)+(AI105*Population!$B$11*Population!N$35)+Y106*Population!$L$36</f>
        <v>80.723975490377015</v>
      </c>
      <c r="AJ106" s="14">
        <f>(AH105*Population!$B$12*Population!N$35)+(AJ105*Population!$B$11*Population!N$37)+Y106*Population!$L$37</f>
        <v>79.613128496698067</v>
      </c>
      <c r="AK106" s="13">
        <f>(AI105*Population!$B$12*Population!N$35)+(AK105*Population!$B$11*Population!N$37)+Y106*Population!$L$38</f>
        <v>79.612543476731403</v>
      </c>
      <c r="AL106" s="14">
        <f>(AJ105*Population!$B$12*Population!N$37)+(AL105*Population!$B$11*Population!N$39)+Y106*Population!$L$39</f>
        <v>78.466720619296197</v>
      </c>
      <c r="AM106" s="13">
        <f>(AK105*Population!$B$12*Population!N$37)+(AM105*Population!$B$11*Population!N$39)+Y106*Population!$L$40</f>
        <v>78.463324873579325</v>
      </c>
      <c r="AN106" s="14">
        <f>(AL105*Population!$B$12*Population!N$39)+(AN105*Population!$B$11*Population!N$41)+Y106*Population!$L$41</f>
        <v>77.255790947767622</v>
      </c>
      <c r="AO106" s="13">
        <f>(AM105*Population!$B$12*Population!N$39)+(AO105*Population!$B$11*Population!N$41)+Y106*Population!$L$42</f>
        <v>77.241091175696553</v>
      </c>
      <c r="AP106" s="15">
        <f>(AN105+AO105)*Population!$B$12*Population!$N$41+AP105*Population!$B$11*Population!$N$43</f>
        <v>147.24885783908667</v>
      </c>
      <c r="AQ106" s="5">
        <f>AP105*Population!N$43*Population!$B$12+AQ105*Population!$B$11*Population!N$44</f>
        <v>139.39904506965092</v>
      </c>
      <c r="AR106" s="5">
        <f>AQ105*Population!N$44*Population!$B$12+AR105*Population!$B$11*Population!N$45</f>
        <v>105.70637498043497</v>
      </c>
      <c r="AS106" s="5">
        <f>(AR105*Population!$B$12+AS105)*Population!N$46</f>
        <v>273.26548665149443</v>
      </c>
    </row>
    <row r="107" spans="1:45">
      <c r="A107">
        <f>A106+Population!$B$2</f>
        <v>104</v>
      </c>
      <c r="B107" s="4">
        <f t="shared" si="32"/>
        <v>1958</v>
      </c>
      <c r="C107" s="54">
        <f t="shared" si="48"/>
        <v>771</v>
      </c>
      <c r="D107" s="12">
        <f>AE106*Population!$Q$32*Population!$C$2+AG106*Population!$Q$34*Population!$C$2+AI106*Population!$Q$36*Population!$C$2+AK106*Population!$Q$38*Population!$C$2+AM106*Population!$Q$40*Population!$C$2+AO105*Population!$Q$42*Population!$C$2</f>
        <v>26.805377111489541</v>
      </c>
      <c r="E107" s="12">
        <f>IF(B106&gt;Population!$B$6*Population!$B$15,Population!$B$8,IF(Population!$J$6=1,D107,Population!$B$8*Population!$B$6*0.9/B106))</f>
        <v>23.761836638153017</v>
      </c>
      <c r="F107" s="12">
        <f>IF(B106&gt;Population!$B$6*0.75,Population!$B$8,E107)</f>
        <v>23.761836638153017</v>
      </c>
      <c r="G107" s="15">
        <f>IF(Population!$J$6=1,IF(E107&gt;H106,H106,E107),IF(E107&gt;X106,X106,E107))</f>
        <v>23.761836638153017</v>
      </c>
      <c r="H107" s="15">
        <f t="shared" si="52"/>
        <v>397</v>
      </c>
      <c r="I107" s="15">
        <f t="shared" si="53"/>
        <v>496</v>
      </c>
      <c r="J107" s="12">
        <f t="shared" si="54"/>
        <v>1.2493702770780857</v>
      </c>
      <c r="K107" s="12">
        <f>AB107*Population!$P$29+AC107*Population!$P$30+AD107*Population!$P$31+AE107*Population!$P$32+AF107*Population!$P$33+AG107*Population!$P$34+AH107*Population!$P$35+AI107*Population!$P$36+AJ107*Population!$P$37+AK107*Population!$P$38+AL107*Population!$P$37+AM107*Population!$P$38+AN107*Population!$P$39+AO107*Population!$P$40+AP107*Population!$P$41+AQ107*Population!$P$42+AR107*Population!$P$43+AS107*Population!$P$44</f>
        <v>4.9338459005972535</v>
      </c>
      <c r="L107" s="12">
        <f t="shared" si="35"/>
        <v>5.9853492791317423E-2</v>
      </c>
      <c r="M107" s="12">
        <f t="shared" si="55"/>
        <v>11.528115198820087</v>
      </c>
      <c r="N107" s="12">
        <f t="shared" si="46"/>
        <v>0.25331971399387132</v>
      </c>
      <c r="O107" s="12">
        <f t="shared" si="37"/>
        <v>761.38129882140049</v>
      </c>
      <c r="P107" s="12">
        <f t="shared" si="38"/>
        <v>207</v>
      </c>
      <c r="Q107" s="12">
        <f t="shared" si="39"/>
        <v>143.30935058929975</v>
      </c>
      <c r="R107" s="12">
        <f t="shared" si="56"/>
        <v>273.26548665149443</v>
      </c>
      <c r="S107" s="12">
        <f t="shared" si="49"/>
        <v>0.13983561132186267</v>
      </c>
      <c r="T107" s="12">
        <f t="shared" si="57"/>
        <v>0.88239131130805981</v>
      </c>
      <c r="U107" s="12">
        <f>Population!$B$13*MIN(Z106:AA106)</f>
        <v>11.879995380159968</v>
      </c>
      <c r="V107" s="12">
        <f>X106*Population!$B$14</f>
        <v>2.1015987428226395</v>
      </c>
      <c r="W107" s="12">
        <f>AO106*T106*Population!$B$12</f>
        <v>9.7355031851441005</v>
      </c>
      <c r="X107" s="12">
        <f t="shared" si="58"/>
        <v>350.30935058929975</v>
      </c>
      <c r="Y107" s="12">
        <f>IF(B106&lt;Vehicle!$B$1*0.75,Vehicle!$B$1*0.01,0)</f>
        <v>0</v>
      </c>
      <c r="Z107" s="14">
        <f t="shared" si="50"/>
        <v>47.540994584505086</v>
      </c>
      <c r="AA107" s="13">
        <f t="shared" si="51"/>
        <v>47.524374870291581</v>
      </c>
      <c r="AB107" s="18">
        <f>(G107+Population!$B$11*AB106)*Population!N$29</f>
        <v>165.86127484229692</v>
      </c>
      <c r="AC107" s="18">
        <f>AB106*Population!$B$12*Population!$N$29+AC106*Population!$B$11*Population!$N$30+Y107*Population!$L$30</f>
        <v>165.57023068216819</v>
      </c>
      <c r="AD107" s="14">
        <f>(AC106*Population!$B$12*0.5*Population!$N$30)+(AD106*Population!$B$11*Population!N$31)+Y107*Population!$L$31</f>
        <v>82.295247909022379</v>
      </c>
      <c r="AE107" s="13">
        <f>(AC106*Population!$B$12*0.5*Population!$N$30)+(AE106*Population!$B$11*Population!N$31)+Y107*Population!$L$32</f>
        <v>82.295247909022379</v>
      </c>
      <c r="AF107" s="14">
        <f>(AD106*Population!$B$12*Population!N$31)+(AF106*Population!$B$11*Population!N$33)+Y107*Population!$L$33</f>
        <v>81.746047863864078</v>
      </c>
      <c r="AG107" s="13">
        <f>(AE106*Population!$B$12*Population!N$31)+(AG106*Population!$B$11*Population!N$33)+Y107*Population!$L$34</f>
        <v>81.746044481902402</v>
      </c>
      <c r="AH107" s="14">
        <f>(AF106*Population!$B$12*Population!N$33)+(AH106*Population!$B$11*Population!N$35)+Y107*Population!$L$35</f>
        <v>80.725988437778682</v>
      </c>
      <c r="AI107" s="13">
        <f>(AG106*Population!$B$12*Population!N$33)+(AI106*Population!$B$11*Population!N$35)+Y107*Population!$L$36</f>
        <v>80.725930417286406</v>
      </c>
      <c r="AJ107" s="14">
        <f>(AH106*Population!$B$12*Population!N$35)+(AJ106*Population!$B$11*Population!N$37)+Y107*Population!$L$37</f>
        <v>79.618668604330367</v>
      </c>
      <c r="AK107" s="13">
        <f>(AI106*Population!$B$12*Population!N$35)+(AK106*Population!$B$11*Population!N$37)+Y107*Population!$L$38</f>
        <v>79.618158545281702</v>
      </c>
      <c r="AL107" s="14">
        <f>(AJ106*Population!$B$12*Population!N$37)+(AL106*Population!$B$11*Population!N$39)+Y107*Population!$L$39</f>
        <v>78.479522626318186</v>
      </c>
      <c r="AM107" s="13">
        <f>(AK106*Population!$B$12*Population!N$37)+(AM106*Population!$B$11*Population!N$39)+Y107*Population!$L$40</f>
        <v>78.476534161741199</v>
      </c>
      <c r="AN107" s="14">
        <f>(AL106*Population!$B$12*Population!N$39)+(AN106*Population!$B$11*Population!N$41)+Y107*Population!$L$41</f>
        <v>77.280117641513527</v>
      </c>
      <c r="AO107" s="13">
        <f>(AM106*Population!$B$12*Population!N$39)+(AO106*Population!$B$11*Population!N$41)+Y107*Population!$L$42</f>
        <v>77.267057853379626</v>
      </c>
      <c r="AP107" s="15">
        <f>(AN106+AO106)*Population!$B$12*Population!$N$41+AP106*Population!$B$11*Population!$N$43</f>
        <v>147.32686711832957</v>
      </c>
      <c r="AQ107" s="5">
        <f>AP106*Population!N$43*Population!$B$12+AQ106*Population!$B$11*Population!N$44</f>
        <v>139.50167365387557</v>
      </c>
      <c r="AR107" s="5">
        <f>AQ106*Population!N$44*Population!$B$12+AR106*Population!$B$11*Population!N$45</f>
        <v>105.79784792734804</v>
      </c>
      <c r="AS107" s="5">
        <f>(AR106*Population!$B$12+AS106)*Population!N$46</f>
        <v>273.7981269682071</v>
      </c>
    </row>
    <row r="108" spans="1:45">
      <c r="A108">
        <f>A107+Population!$B$2</f>
        <v>105</v>
      </c>
      <c r="B108" s="4">
        <f t="shared" si="32"/>
        <v>1958</v>
      </c>
      <c r="C108" s="54">
        <f t="shared" si="48"/>
        <v>771</v>
      </c>
      <c r="D108" s="12">
        <f>AE107*Population!$Q$32*Population!$C$2+AG107*Population!$Q$34*Population!$C$2+AI107*Population!$Q$36*Population!$C$2+AK107*Population!$Q$38*Population!$C$2+AM107*Population!$Q$40*Population!$C$2+AO106*Population!$Q$42*Population!$C$2</f>
        <v>26.807285852807368</v>
      </c>
      <c r="E108" s="12">
        <f>IF(B107&gt;Population!$B$6*Population!$B$15,Population!$B$8,IF(Population!$J$6=1,D108,Population!$B$8*Population!$B$6*0.9/B107))</f>
        <v>23.761836638153017</v>
      </c>
      <c r="F108" s="12">
        <f>IF(B107&gt;Population!$B$6*0.75,Population!$B$8,E108)</f>
        <v>23.761836638153017</v>
      </c>
      <c r="G108" s="15">
        <f>IF(Population!$J$6=1,IF(E108&gt;H107,H107,E108),IF(E108&gt;X107,X107,E108))</f>
        <v>23.761836638153017</v>
      </c>
      <c r="H108" s="15">
        <f t="shared" si="52"/>
        <v>397</v>
      </c>
      <c r="I108" s="15">
        <f t="shared" si="53"/>
        <v>496</v>
      </c>
      <c r="J108" s="12">
        <f t="shared" si="54"/>
        <v>1.2493702770780857</v>
      </c>
      <c r="K108" s="12">
        <f>AB108*Population!$P$29+AC108*Population!$P$30+AD108*Population!$P$31+AE108*Population!$P$32+AF108*Population!$P$33+AG108*Population!$P$34+AH108*Population!$P$35+AI108*Population!$P$36+AJ108*Population!$P$37+AK108*Population!$P$38+AL108*Population!$P$37+AM108*Population!$P$38+AN108*Population!$P$39+AO108*Population!$P$40+AP108*Population!$P$41+AQ108*Population!$P$42+AR108*Population!$P$43+AS108*Population!$P$44</f>
        <v>4.9387404906859045</v>
      </c>
      <c r="L108" s="12">
        <f t="shared" si="35"/>
        <v>5.9853492791317423E-2</v>
      </c>
      <c r="M108" s="12">
        <f t="shared" si="55"/>
        <v>11.528461580247651</v>
      </c>
      <c r="N108" s="12">
        <f t="shared" si="46"/>
        <v>0.25331971399387132</v>
      </c>
      <c r="O108" s="12">
        <f t="shared" si="37"/>
        <v>761.30276087908601</v>
      </c>
      <c r="P108" s="12">
        <f t="shared" si="38"/>
        <v>207</v>
      </c>
      <c r="Q108" s="12">
        <f t="shared" si="39"/>
        <v>143.348619560457</v>
      </c>
      <c r="R108" s="12">
        <f t="shared" si="56"/>
        <v>273.7981269682071</v>
      </c>
      <c r="S108" s="12">
        <f t="shared" si="49"/>
        <v>0.14010023783791561</v>
      </c>
      <c r="T108" s="12">
        <f t="shared" si="57"/>
        <v>0.88249022559309065</v>
      </c>
      <c r="U108" s="12">
        <f>Population!$B$13*MIN(Z107:AA107)</f>
        <v>11.881093717572895</v>
      </c>
      <c r="V108" s="12">
        <f>X107*Population!$B$14</f>
        <v>2.1018561035357988</v>
      </c>
      <c r="W108" s="12">
        <f>AO107*T107*Population!$B$12</f>
        <v>9.7399686428799086</v>
      </c>
      <c r="X108" s="12">
        <f t="shared" si="58"/>
        <v>350.348619560457</v>
      </c>
      <c r="Y108" s="12">
        <f>IF(B107&lt;Vehicle!$B$1*0.75,Vehicle!$B$1*0.01,0)</f>
        <v>0</v>
      </c>
      <c r="Z108" s="14">
        <f t="shared" si="50"/>
        <v>47.543341482058963</v>
      </c>
      <c r="AA108" s="13">
        <f t="shared" si="51"/>
        <v>47.528615776332231</v>
      </c>
      <c r="AB108" s="18">
        <f>(G108+Population!$B$11*AB107)*Population!N$29</f>
        <v>165.86127661651588</v>
      </c>
      <c r="AC108" s="18">
        <f>AB107*Population!$B$12*Population!$N$29+AC107*Population!$B$11*Population!$N$30+Y108*Population!$L$30</f>
        <v>165.57025706375703</v>
      </c>
      <c r="AD108" s="14">
        <f>(AC107*Population!$B$12*0.5*Population!$N$30)+(AD107*Population!$B$11*Population!N$31)+Y108*Population!$L$31</f>
        <v>82.295344559531841</v>
      </c>
      <c r="AE108" s="13">
        <f>(AC107*Population!$B$12*0.5*Population!$N$30)+(AE107*Population!$B$11*Population!N$31)+Y108*Population!$L$32</f>
        <v>82.295344559531841</v>
      </c>
      <c r="AF108" s="14">
        <f>(AD107*Population!$B$12*Population!N$31)+(AF107*Population!$B$11*Population!N$33)+Y108*Population!$L$33</f>
        <v>81.746526259894864</v>
      </c>
      <c r="AG108" s="13">
        <f>(AE107*Population!$B$12*Population!N$31)+(AG107*Population!$B$11*Population!N$33)+Y108*Population!$L$34</f>
        <v>81.746523363833148</v>
      </c>
      <c r="AH108" s="14">
        <f>(AF107*Population!$B$12*Population!N$33)+(AH107*Population!$B$11*Population!N$35)+Y108*Population!$L$35</f>
        <v>80.727730160016975</v>
      </c>
      <c r="AI108" s="13">
        <f>(AG107*Population!$B$12*Population!N$33)+(AI107*Population!$B$11*Population!N$35)+Y108*Population!$L$36</f>
        <v>80.727680040974647</v>
      </c>
      <c r="AJ108" s="14">
        <f>(AH107*Population!$B$12*Population!N$35)+(AJ107*Population!$B$11*Population!N$37)+Y108*Population!$L$37</f>
        <v>79.62368558623406</v>
      </c>
      <c r="AK108" s="13">
        <f>(AI107*Population!$B$12*Population!N$35)+(AK107*Population!$B$11*Population!N$37)+Y108*Population!$L$38</f>
        <v>79.623240959447685</v>
      </c>
      <c r="AL108" s="14">
        <f>(AJ107*Population!$B$12*Population!N$37)+(AL107*Population!$B$11*Population!N$39)+Y108*Population!$L$39</f>
        <v>78.491264631123428</v>
      </c>
      <c r="AM108" s="13">
        <f>(AK107*Population!$B$12*Population!N$37)+(AM107*Population!$B$11*Population!N$39)+Y108*Population!$L$40</f>
        <v>78.488635282539818</v>
      </c>
      <c r="AN108" s="14">
        <f>(AL107*Population!$B$12*Population!N$39)+(AN107*Population!$B$11*Population!N$41)+Y108*Population!$L$41</f>
        <v>77.302754405246645</v>
      </c>
      <c r="AO108" s="13">
        <f>(AM107*Population!$B$12*Population!N$39)+(AO107*Population!$B$11*Population!N$41)+Y108*Population!$L$42</f>
        <v>77.291155689993928</v>
      </c>
      <c r="AP108" s="15">
        <f>(AN107+AO107)*Population!$B$12*Population!$N$41+AP107*Population!$B$11*Population!$N$43</f>
        <v>147.40041841546758</v>
      </c>
      <c r="AQ108" s="5">
        <f>AP107*Population!N$43*Population!$B$12+AQ107*Population!$B$11*Population!N$44</f>
        <v>139.60006663586165</v>
      </c>
      <c r="AR108" s="5">
        <f>AQ107*Population!N$44*Population!$B$12+AR107*Population!$B$11*Population!N$45</f>
        <v>105.88684720289081</v>
      </c>
      <c r="AS108" s="5">
        <f>(AR107*Population!$B$12+AS107)*Population!N$46</f>
        <v>274.31626568663876</v>
      </c>
    </row>
    <row r="109" spans="1:45">
      <c r="A109">
        <f>A108+Population!$B$2</f>
        <v>106</v>
      </c>
      <c r="B109" s="4">
        <f t="shared" si="32"/>
        <v>1959</v>
      </c>
      <c r="C109" s="54">
        <f t="shared" si="48"/>
        <v>771</v>
      </c>
      <c r="D109" s="12">
        <f>AE108*Population!$Q$32*Population!$C$2+AG108*Population!$Q$34*Population!$C$2+AI108*Population!$Q$36*Population!$C$2+AK108*Population!$Q$38*Population!$C$2+AM108*Population!$Q$40*Population!$C$2+AO107*Population!$Q$42*Population!$C$2</f>
        <v>26.809034339710529</v>
      </c>
      <c r="E109" s="12">
        <f>IF(B108&gt;Population!$B$6*Population!$B$15,Population!$B$8,IF(Population!$J$6=1,D109,Population!$B$8*Population!$B$6*0.9/B108))</f>
        <v>23.761836638153017</v>
      </c>
      <c r="F109" s="12">
        <f>IF(B108&gt;Population!$B$6*0.75,Population!$B$8,E109)</f>
        <v>23.761836638153017</v>
      </c>
      <c r="G109" s="15">
        <f>IF(Population!$J$6=1,IF(E109&gt;H108,H108,E109),IF(E109&gt;X108,X108,E109))</f>
        <v>23.761836638153017</v>
      </c>
      <c r="H109" s="15">
        <f t="shared" si="52"/>
        <v>397</v>
      </c>
      <c r="I109" s="15">
        <f t="shared" si="53"/>
        <v>496</v>
      </c>
      <c r="J109" s="12">
        <f t="shared" si="54"/>
        <v>1.2493702770780857</v>
      </c>
      <c r="K109" s="12">
        <f>AB109*Population!$P$29+AC109*Population!$P$30+AD109*Population!$P$31+AE109*Population!$P$32+AF109*Population!$P$33+AG109*Population!$P$34+AH109*Population!$P$35+AI109*Population!$P$36+AJ109*Population!$P$37+AK109*Population!$P$38+AL109*Population!$P$37+AM109*Population!$P$38+AN109*Population!$P$39+AO109*Population!$P$40+AP109*Population!$P$41+AQ109*Population!$P$42+AR109*Population!$P$43+AS109*Population!$P$44</f>
        <v>4.9434845104275107</v>
      </c>
      <c r="L109" s="12">
        <f t="shared" si="35"/>
        <v>5.9853492791317423E-2</v>
      </c>
      <c r="M109" s="12">
        <f t="shared" si="55"/>
        <v>11.528773689790862</v>
      </c>
      <c r="N109" s="12">
        <f t="shared" si="46"/>
        <v>0.25319040326697295</v>
      </c>
      <c r="O109" s="12">
        <f t="shared" si="37"/>
        <v>762.23083340313497</v>
      </c>
      <c r="P109" s="12">
        <f t="shared" si="38"/>
        <v>207</v>
      </c>
      <c r="Q109" s="12">
        <f t="shared" si="39"/>
        <v>143.38458329843252</v>
      </c>
      <c r="R109" s="12">
        <f t="shared" si="56"/>
        <v>274.31626568663876</v>
      </c>
      <c r="S109" s="12">
        <f t="shared" si="49"/>
        <v>0.14028601322039297</v>
      </c>
      <c r="T109" s="12">
        <f t="shared" si="57"/>
        <v>0.88258081435373426</v>
      </c>
      <c r="U109" s="12">
        <f>Population!$B$13*MIN(Z108:AA108)</f>
        <v>11.882153944083058</v>
      </c>
      <c r="V109" s="12">
        <f>X108*Population!$B$14</f>
        <v>2.1020917173627418</v>
      </c>
      <c r="W109" s="12">
        <f>AO108*T108*Population!$B$12</f>
        <v>9.7440984887447755</v>
      </c>
      <c r="X109" s="12">
        <f t="shared" si="58"/>
        <v>350.38458329843252</v>
      </c>
      <c r="Y109" s="12">
        <f>IF(B108&lt;Vehicle!$B$1*0.75,Vehicle!$B$1*0.01,0)</f>
        <v>0</v>
      </c>
      <c r="Z109" s="14">
        <f t="shared" si="50"/>
        <v>47.545700352543349</v>
      </c>
      <c r="AA109" s="13">
        <f t="shared" si="51"/>
        <v>47.53265669533107</v>
      </c>
      <c r="AB109" s="18">
        <f>(G109+Population!$B$11*AB108)*Population!N$29</f>
        <v>165.8612781366576</v>
      </c>
      <c r="AC109" s="18">
        <f>AB108*Population!$B$12*Population!$N$29+AC108*Population!$B$11*Population!$N$30+Y109*Population!$L$30</f>
        <v>165.57027992481653</v>
      </c>
      <c r="AD109" s="14">
        <f>(AC108*Population!$B$12*0.5*Population!$N$30)+(AD108*Population!$B$11*Population!N$31)+Y109*Population!$L$31</f>
        <v>82.295429207851228</v>
      </c>
      <c r="AE109" s="13">
        <f>(AC108*Population!$B$12*0.5*Population!$N$30)+(AE108*Population!$B$11*Population!N$31)+Y109*Population!$L$32</f>
        <v>82.295429207851228</v>
      </c>
      <c r="AF109" s="14">
        <f>(AD108*Population!$B$12*Population!N$31)+(AF108*Population!$B$11*Population!N$33)+Y109*Population!$L$33</f>
        <v>81.746949716911672</v>
      </c>
      <c r="AG109" s="13">
        <f>(AE108*Population!$B$12*Population!N$31)+(AG108*Population!$B$11*Population!N$33)+Y109*Population!$L$34</f>
        <v>81.746947236938723</v>
      </c>
      <c r="AH109" s="14">
        <f>(AF108*Population!$B$12*Population!N$33)+(AH108*Population!$B$11*Population!N$35)+Y109*Population!$L$35</f>
        <v>80.729288475575373</v>
      </c>
      <c r="AI109" s="13">
        <f>(AG108*Population!$B$12*Population!N$33)+(AI108*Population!$B$11*Population!N$35)+Y109*Population!$L$36</f>
        <v>80.729245185549033</v>
      </c>
      <c r="AJ109" s="14">
        <f>(AH108*Population!$B$12*Population!N$35)+(AJ108*Population!$B$11*Population!N$37)+Y109*Population!$L$37</f>
        <v>79.628225939651529</v>
      </c>
      <c r="AK109" s="13">
        <f>(AI108*Population!$B$12*Population!N$35)+(AK108*Population!$B$11*Population!N$37)+Y109*Population!$L$38</f>
        <v>79.627838416589896</v>
      </c>
      <c r="AL109" s="14">
        <f>(AJ108*Population!$B$12*Population!N$37)+(AL108*Population!$B$11*Population!N$39)+Y109*Population!$L$39</f>
        <v>78.502025218299792</v>
      </c>
      <c r="AM109" s="13">
        <f>(AK108*Population!$B$12*Population!N$37)+(AM108*Population!$B$11*Population!N$39)+Y109*Population!$L$40</f>
        <v>78.499712421941354</v>
      </c>
      <c r="AN109" s="14">
        <f>(AL108*Population!$B$12*Population!N$39)+(AN108*Population!$B$11*Population!N$41)+Y109*Population!$L$41</f>
        <v>77.323794300537571</v>
      </c>
      <c r="AO109" s="13">
        <f>(AM108*Population!$B$12*Population!N$39)+(AO108*Population!$B$11*Population!N$41)+Y109*Population!$L$42</f>
        <v>77.313496732744596</v>
      </c>
      <c r="AP109" s="15">
        <f>(AN108+AO108)*Population!$B$12*Population!$N$41+AP108*Population!$B$11*Population!$N$43</f>
        <v>147.46966886851291</v>
      </c>
      <c r="AQ109" s="5">
        <f>AP108*Population!N$43*Population!$B$12+AQ108*Population!$B$11*Population!N$44</f>
        <v>139.69422318549505</v>
      </c>
      <c r="AR109" s="5">
        <f>AQ108*Population!N$44*Population!$B$12+AR108*Population!$B$11*Population!N$45</f>
        <v>105.97323260656518</v>
      </c>
      <c r="AS109" s="5">
        <f>(AR108*Population!$B$12+AS108)*Population!N$46</f>
        <v>274.82029989874985</v>
      </c>
    </row>
    <row r="110" spans="1:45">
      <c r="A110">
        <f>A109+Population!$B$2</f>
        <v>107</v>
      </c>
      <c r="B110" s="4">
        <f t="shared" si="32"/>
        <v>1960</v>
      </c>
      <c r="C110" s="54">
        <f t="shared" si="48"/>
        <v>771</v>
      </c>
      <c r="D110" s="12">
        <f>AE109*Population!$Q$32*Population!$C$2+AG109*Population!$Q$34*Population!$C$2+AI109*Population!$Q$36*Population!$C$2+AK109*Population!$Q$38*Population!$C$2+AM109*Population!$Q$40*Population!$C$2+AO108*Population!$Q$42*Population!$C$2</f>
        <v>26.810635039579171</v>
      </c>
      <c r="E110" s="12">
        <f>IF(B109&gt;Population!$B$6*Population!$B$15,Population!$B$8,IF(Population!$J$6=1,D110,Population!$B$8*Population!$B$6*0.9/B109))</f>
        <v>23.761836638153017</v>
      </c>
      <c r="F110" s="12">
        <f>IF(B109&gt;Population!$B$6*0.75,Population!$B$8,E110)</f>
        <v>23.761836638153017</v>
      </c>
      <c r="G110" s="15">
        <f>IF(Population!$J$6=1,IF(E110&gt;H109,H109,E110),IF(E110&gt;X109,X109,E110))</f>
        <v>23.761836638153017</v>
      </c>
      <c r="H110" s="15">
        <f t="shared" si="52"/>
        <v>397</v>
      </c>
      <c r="I110" s="15">
        <f t="shared" si="53"/>
        <v>496</v>
      </c>
      <c r="J110" s="12">
        <f t="shared" si="54"/>
        <v>1.2493702770780857</v>
      </c>
      <c r="K110" s="12">
        <f>AB110*Population!$P$29+AC110*Population!$P$30+AD110*Population!$P$31+AE110*Population!$P$32+AF110*Population!$P$33+AG110*Population!$P$34+AH110*Population!$P$35+AI110*Population!$P$36+AJ110*Population!$P$37+AK110*Population!$P$38+AL110*Population!$P$37+AM110*Population!$P$38+AN110*Population!$P$39+AO110*Population!$P$40+AP110*Population!$P$41+AQ110*Population!$P$42+AR110*Population!$P$43+AS110*Population!$P$44</f>
        <v>4.9480810089922898</v>
      </c>
      <c r="L110" s="12">
        <f t="shared" si="35"/>
        <v>5.9853492791317423E-2</v>
      </c>
      <c r="M110" s="12">
        <f t="shared" si="55"/>
        <v>11.52905477356985</v>
      </c>
      <c r="N110" s="12">
        <f t="shared" si="46"/>
        <v>0.2530612244897959</v>
      </c>
      <c r="O110" s="12">
        <f t="shared" si="37"/>
        <v>763.16495117131365</v>
      </c>
      <c r="P110" s="12">
        <f t="shared" si="38"/>
        <v>207</v>
      </c>
      <c r="Q110" s="12">
        <f t="shared" si="39"/>
        <v>143.41752441434318</v>
      </c>
      <c r="R110" s="12">
        <f t="shared" si="56"/>
        <v>274.82029989874985</v>
      </c>
      <c r="S110" s="12">
        <f t="shared" si="49"/>
        <v>0.14046458551970384</v>
      </c>
      <c r="T110" s="12">
        <f t="shared" si="57"/>
        <v>0.88266378945678381</v>
      </c>
      <c r="U110" s="12">
        <f>Population!$B$13*MIN(Z109:AA109)</f>
        <v>11.883164173832768</v>
      </c>
      <c r="V110" s="12">
        <f>X109*Population!$B$14</f>
        <v>2.1023074997905953</v>
      </c>
      <c r="W110" s="12">
        <f>AO109*T109*Population!$B$12</f>
        <v>9.7479155581314991</v>
      </c>
      <c r="X110" s="12">
        <f t="shared" si="58"/>
        <v>350.41752441434318</v>
      </c>
      <c r="Y110" s="12">
        <f>IF(B109&lt;Vehicle!$B$1*0.75,Vehicle!$B$1*0.01,0)</f>
        <v>0</v>
      </c>
      <c r="Z110" s="14">
        <f t="shared" si="50"/>
        <v>47.548020827875632</v>
      </c>
      <c r="AA110" s="13">
        <f t="shared" si="51"/>
        <v>47.536470468724531</v>
      </c>
      <c r="AB110" s="18">
        <f>(G110+Population!$B$11*AB109)*Population!N$29</f>
        <v>165.86127943910719</v>
      </c>
      <c r="AC110" s="18">
        <f>AB109*Population!$B$12*Population!$N$29+AC109*Population!$B$11*Population!$N$30+Y110*Population!$L$30</f>
        <v>165.5702997326764</v>
      </c>
      <c r="AD110" s="14">
        <f>(AC109*Population!$B$12*0.5*Population!$N$30)+(AD109*Population!$B$11*Population!N$31)+Y110*Population!$L$31</f>
        <v>82.295503326973375</v>
      </c>
      <c r="AE110" s="13">
        <f>(AC109*Population!$B$12*0.5*Population!$N$30)+(AE109*Population!$B$11*Population!N$31)+Y110*Population!$L$32</f>
        <v>82.295503326973375</v>
      </c>
      <c r="AF110" s="14">
        <f>(AD109*Population!$B$12*Population!N$31)+(AF109*Population!$B$11*Population!N$33)+Y110*Population!$L$33</f>
        <v>81.74732441525785</v>
      </c>
      <c r="AG110" s="13">
        <f>(AE109*Population!$B$12*Population!N$31)+(AG109*Population!$B$11*Population!N$33)+Y110*Population!$L$34</f>
        <v>81.747322291592525</v>
      </c>
      <c r="AH110" s="14">
        <f>(AF109*Population!$B$12*Population!N$33)+(AH109*Population!$B$11*Population!N$35)+Y110*Population!$L$35</f>
        <v>80.730682046292145</v>
      </c>
      <c r="AI110" s="13">
        <f>(AG109*Population!$B$12*Population!N$33)+(AI109*Population!$B$11*Population!N$35)+Y110*Population!$L$36</f>
        <v>80.730644657854086</v>
      </c>
      <c r="AJ110" s="14">
        <f>(AH109*Population!$B$12*Population!N$35)+(AJ109*Population!$B$11*Population!N$37)+Y110*Population!$L$37</f>
        <v>79.632332388112374</v>
      </c>
      <c r="AK110" s="13">
        <f>(AI109*Population!$B$12*Population!N$35)+(AK109*Population!$B$11*Population!N$37)+Y110*Population!$L$38</f>
        <v>79.631994690824712</v>
      </c>
      <c r="AL110" s="14">
        <f>(AJ109*Population!$B$12*Population!N$37)+(AL109*Population!$B$11*Population!N$39)+Y110*Population!$L$39</f>
        <v>78.511878246447338</v>
      </c>
      <c r="AM110" s="13">
        <f>(AK109*Population!$B$12*Population!N$37)+(AM109*Population!$B$11*Population!N$39)+Y110*Population!$L$40</f>
        <v>78.50984440162533</v>
      </c>
      <c r="AN110" s="14">
        <f>(AL109*Population!$B$12*Population!N$39)+(AN109*Population!$B$11*Population!N$41)+Y110*Population!$L$41</f>
        <v>77.34332814610913</v>
      </c>
      <c r="AO110" s="13">
        <f>(AM109*Population!$B$12*Population!N$39)+(AO109*Population!$B$11*Population!N$41)+Y110*Population!$L$42</f>
        <v>77.334188841171084</v>
      </c>
      <c r="AP110" s="15">
        <f>(AN109+AO109)*Population!$B$12*Population!$N$41+AP109*Population!$B$11*Population!$N$43</f>
        <v>147.53478143568506</v>
      </c>
      <c r="AQ110" s="5">
        <f>AP109*Population!N$43*Population!$B$12+AQ109*Population!$B$11*Population!N$44</f>
        <v>139.78416488194534</v>
      </c>
      <c r="AR110" s="5">
        <f>AQ109*Population!N$44*Population!$B$12+AR109*Population!$B$11*Population!N$45</f>
        <v>106.05688991986989</v>
      </c>
      <c r="AS110" s="5">
        <f>(AR109*Population!$B$12+AS109)*Population!N$46</f>
        <v>275.31058761861954</v>
      </c>
    </row>
    <row r="111" spans="1:45">
      <c r="A111">
        <f>A110+Population!$B$2</f>
        <v>108</v>
      </c>
      <c r="B111" s="4">
        <f t="shared" si="32"/>
        <v>1961</v>
      </c>
      <c r="C111" s="54">
        <f t="shared" si="48"/>
        <v>771</v>
      </c>
      <c r="D111" s="12">
        <f>AE110*Population!$Q$32*Population!$C$2+AG110*Population!$Q$34*Population!$C$2+AI110*Population!$Q$36*Population!$C$2+AK110*Population!$Q$38*Population!$C$2+AM110*Population!$Q$40*Population!$C$2+AO109*Population!$Q$42*Population!$C$2</f>
        <v>26.812099557164284</v>
      </c>
      <c r="E111" s="12">
        <f>IF(B110&gt;Population!$B$6*Population!$B$15,Population!$B$8,IF(Population!$J$6=1,D111,Population!$B$8*Population!$B$6*0.9/B110))</f>
        <v>23.761836638153017</v>
      </c>
      <c r="F111" s="12">
        <f>IF(B110&gt;Population!$B$6*0.75,Population!$B$8,E111)</f>
        <v>23.761836638153017</v>
      </c>
      <c r="G111" s="15">
        <f>IF(Population!$J$6=1,IF(E111&gt;H110,H110,E111),IF(E111&gt;X110,X110,E111))</f>
        <v>23.761836638153017</v>
      </c>
      <c r="H111" s="15">
        <f t="shared" ref="H111:H115" si="59">FLOOR(AG111+AI111+AK111+AM111+AO111,1)</f>
        <v>397</v>
      </c>
      <c r="I111" s="15">
        <f t="shared" ref="I111:I115" si="60">FLOOR(SUM(AB111:AE111),1)</f>
        <v>496</v>
      </c>
      <c r="J111" s="12">
        <f t="shared" ref="J111:J115" si="61">I111/H111</f>
        <v>1.2493702770780857</v>
      </c>
      <c r="K111" s="12">
        <f>AB111*Population!$P$29+AC111*Population!$P$30+AD111*Population!$P$31+AE111*Population!$P$32+AF111*Population!$P$33+AG111*Population!$P$34+AH111*Population!$P$35+AI111*Population!$P$36+AJ111*Population!$P$37+AK111*Population!$P$38+AL111*Population!$P$37+AM111*Population!$P$38+AN111*Population!$P$39+AO111*Population!$P$40+AP111*Population!$P$41+AQ111*Population!$P$42+AR111*Population!$P$43+AS111*Population!$P$44</f>
        <v>4.952532959987332</v>
      </c>
      <c r="L111" s="12">
        <f t="shared" si="35"/>
        <v>5.9853492791317423E-2</v>
      </c>
      <c r="M111" s="12">
        <f t="shared" ref="M111:M115" si="62">(AF111+AG111+AH111+AI111+AJ111+AK111)/21*0.5</f>
        <v>11.529307788123029</v>
      </c>
      <c r="N111" s="12">
        <f t="shared" si="46"/>
        <v>0.25293217746047936</v>
      </c>
      <c r="O111" s="12">
        <f t="shared" si="37"/>
        <v>764.10460856624195</v>
      </c>
      <c r="P111" s="12">
        <f t="shared" si="38"/>
        <v>207</v>
      </c>
      <c r="Q111" s="12">
        <f t="shared" si="39"/>
        <v>143.44769571687902</v>
      </c>
      <c r="R111" s="12">
        <f t="shared" ref="R111:R115" si="63">SUM(AS110:AS110)</f>
        <v>275.31058761861954</v>
      </c>
      <c r="S111" s="12">
        <f t="shared" si="49"/>
        <v>0.14063613119880572</v>
      </c>
      <c r="T111" s="12">
        <f t="shared" ref="T111:T115" si="64">X111/H111</f>
        <v>0.88273978769994721</v>
      </c>
      <c r="U111" s="12">
        <f>Population!$B$13*MIN(Z110:AA110)</f>
        <v>11.884117617181133</v>
      </c>
      <c r="V111" s="12">
        <f>X110*Population!$B$14</f>
        <v>2.1025051464860591</v>
      </c>
      <c r="W111" s="12">
        <f>AO110*T110*Population!$B$12</f>
        <v>9.7514411681592268</v>
      </c>
      <c r="X111" s="12">
        <f t="shared" ref="X111:X115" si="65">X110+U111-W111-V111</f>
        <v>350.44769571687902</v>
      </c>
      <c r="Y111" s="12">
        <f>IF(B110&lt;Vehicle!$B$1*0.75,Vehicle!$B$1*0.01,0)</f>
        <v>0</v>
      </c>
      <c r="Z111" s="14">
        <f t="shared" si="50"/>
        <v>47.550269163503458</v>
      </c>
      <c r="AA111" s="13">
        <f t="shared" si="51"/>
        <v>47.540044087198737</v>
      </c>
      <c r="AB111" s="18">
        <f>(G111+Population!$B$11*AB110)*Population!N$29</f>
        <v>165.86128055503929</v>
      </c>
      <c r="AC111" s="18">
        <f>AB110*Population!$B$12*Population!$N$29+AC110*Population!$B$11*Population!$N$30+Y111*Population!$L$30</f>
        <v>165.57031689301061</v>
      </c>
      <c r="AD111" s="14">
        <f>(AC110*Population!$B$12*0.5*Population!$N$30)+(AD110*Population!$B$11*Population!N$31)+Y111*Population!$L$31</f>
        <v>82.295568211633551</v>
      </c>
      <c r="AE111" s="13">
        <f>(AC110*Population!$B$12*0.5*Population!$N$30)+(AE110*Population!$B$11*Population!N$31)+Y111*Population!$L$32</f>
        <v>82.295568211633551</v>
      </c>
      <c r="AF111" s="14">
        <f>(AD110*Population!$B$12*Population!N$31)+(AF110*Population!$B$11*Population!N$33)+Y111*Population!$L$33</f>
        <v>81.747655857549077</v>
      </c>
      <c r="AG111" s="13">
        <f>(AE110*Population!$B$12*Population!N$31)+(AG110*Population!$B$11*Population!N$33)+Y111*Population!$L$34</f>
        <v>81.747654038999244</v>
      </c>
      <c r="AH111" s="14">
        <f>(AF110*Population!$B$12*Population!N$33)+(AH110*Population!$B$11*Population!N$35)+Y111*Population!$L$35</f>
        <v>80.731927719381389</v>
      </c>
      <c r="AI111" s="13">
        <f>(AG110*Population!$B$12*Population!N$33)+(AI110*Population!$B$11*Population!N$35)+Y111*Population!$L$36</f>
        <v>80.731895430587812</v>
      </c>
      <c r="AJ111" s="14">
        <f>(AH110*Population!$B$12*Population!N$35)+(AJ110*Population!$B$11*Population!N$37)+Y111*Population!$L$37</f>
        <v>79.636044142332338</v>
      </c>
      <c r="AK111" s="13">
        <f>(AI110*Population!$B$12*Population!N$35)+(AK110*Population!$B$11*Population!N$37)+Y111*Population!$L$38</f>
        <v>79.635749912317294</v>
      </c>
      <c r="AL111" s="14">
        <f>(AJ110*Population!$B$12*Population!N$37)+(AL110*Population!$B$11*Population!N$39)+Y111*Population!$L$39</f>
        <v>78.520892993030301</v>
      </c>
      <c r="AM111" s="13">
        <f>(AK110*Population!$B$12*Population!N$37)+(AM110*Population!$B$11*Population!N$39)+Y111*Population!$L$40</f>
        <v>78.519104894751933</v>
      </c>
      <c r="AN111" s="14">
        <f>(AL110*Population!$B$12*Population!N$39)+(AN110*Population!$B$11*Population!N$41)+Y111*Population!$L$41</f>
        <v>77.361444168089392</v>
      </c>
      <c r="AO111" s="13">
        <f>(AM110*Population!$B$12*Population!N$39)+(AO110*Population!$B$11*Population!N$41)+Y111*Population!$L$42</f>
        <v>77.353335527421493</v>
      </c>
      <c r="AP111" s="15">
        <f>(AN110+AO110)*Population!$B$12*Population!$N$41+AP110*Population!$B$11*Population!$N$43</f>
        <v>147.59592311090327</v>
      </c>
      <c r="AQ111" s="5">
        <f>AP110*Population!N$43*Population!$B$12+AQ110*Population!$B$11*Population!N$44</f>
        <v>139.86993319851197</v>
      </c>
      <c r="AR111" s="5">
        <f>AQ110*Population!N$44*Population!$B$12+AR110*Population!$B$11*Population!N$45</f>
        <v>106.13772924760852</v>
      </c>
      <c r="AS111" s="5">
        <f>(AR110*Population!$B$12+AS110)*Population!N$46</f>
        <v>275.78745328085802</v>
      </c>
    </row>
    <row r="112" spans="1:45">
      <c r="A112">
        <f>A111+Population!$B$2</f>
        <v>109</v>
      </c>
      <c r="B112" s="4">
        <f t="shared" si="32"/>
        <v>1962</v>
      </c>
      <c r="C112" s="54">
        <f t="shared" si="48"/>
        <v>772</v>
      </c>
      <c r="D112" s="12">
        <f>AE111*Population!$Q$32*Population!$C$2+AG111*Population!$Q$34*Population!$C$2+AI111*Population!$Q$36*Population!$C$2+AK111*Population!$Q$38*Population!$C$2+AM111*Population!$Q$40*Population!$C$2+AO110*Population!$Q$42*Population!$C$2</f>
        <v>26.813438682488954</v>
      </c>
      <c r="E112" s="12">
        <f>IF(B111&gt;Population!$B$6*Population!$B$15,Population!$B$8,IF(Population!$J$6=1,D112,Population!$B$8*Population!$B$6*0.9/B111))</f>
        <v>23.761836638153017</v>
      </c>
      <c r="F112" s="12">
        <f>IF(B111&gt;Population!$B$6*0.75,Population!$B$8,E112)</f>
        <v>23.761836638153017</v>
      </c>
      <c r="G112" s="15">
        <f>IF(Population!$J$6=1,IF(E112&gt;H111,H111,E112),IF(E112&gt;X111,X111,E112))</f>
        <v>23.761836638153017</v>
      </c>
      <c r="H112" s="15">
        <f t="shared" si="59"/>
        <v>398</v>
      </c>
      <c r="I112" s="15">
        <f t="shared" si="60"/>
        <v>496</v>
      </c>
      <c r="J112" s="12">
        <f t="shared" si="61"/>
        <v>1.2462311557788945</v>
      </c>
      <c r="K112" s="12">
        <f>AB112*Population!$P$29+AC112*Population!$P$30+AD112*Population!$P$31+AE112*Population!$P$32+AF112*Population!$P$33+AG112*Population!$P$34+AH112*Population!$P$35+AI112*Population!$P$36+AJ112*Population!$P$37+AK112*Population!$P$38+AL112*Population!$P$37+AM112*Population!$P$38+AN112*Population!$P$39+AO112*Population!$P$40+AP112*Population!$P$41+AQ112*Population!$P$42+AR112*Population!$P$43+AS112*Population!$P$44</f>
        <v>4.9568432794611956</v>
      </c>
      <c r="L112" s="12">
        <f t="shared" si="35"/>
        <v>5.9703107131037735E-2</v>
      </c>
      <c r="M112" s="12">
        <f t="shared" si="62"/>
        <v>11.529535424016366</v>
      </c>
      <c r="N112" s="12">
        <f t="shared" si="46"/>
        <v>0.25280326197757391</v>
      </c>
      <c r="O112" s="12">
        <f t="shared" si="37"/>
        <v>765.04934943734759</v>
      </c>
      <c r="P112" s="12">
        <f t="shared" si="38"/>
        <v>207</v>
      </c>
      <c r="Q112" s="12">
        <f t="shared" si="39"/>
        <v>143.47532528132621</v>
      </c>
      <c r="R112" s="12">
        <f t="shared" si="63"/>
        <v>275.78745328085802</v>
      </c>
      <c r="S112" s="12">
        <f t="shared" si="49"/>
        <v>0.14080081179217874</v>
      </c>
      <c r="T112" s="12">
        <f t="shared" si="64"/>
        <v>0.88059126955107092</v>
      </c>
      <c r="U112" s="12">
        <f>Population!$B$13*MIN(Z111:AA111)</f>
        <v>11.885011021799684</v>
      </c>
      <c r="V112" s="12">
        <f>X111*Population!$B$14</f>
        <v>2.1026861743012741</v>
      </c>
      <c r="W112" s="12">
        <f>AO111*T111*Population!$B$12</f>
        <v>9.7546952830512623</v>
      </c>
      <c r="X112" s="12">
        <f t="shared" si="65"/>
        <v>350.47532528132621</v>
      </c>
      <c r="Y112" s="12">
        <f>IF(B111&lt;Vehicle!$B$1*0.75,Vehicle!$B$1*0.01,0)</f>
        <v>0</v>
      </c>
      <c r="Z112" s="14">
        <f t="shared" si="50"/>
        <v>47.552423538248945</v>
      </c>
      <c r="AA112" s="13">
        <f t="shared" si="51"/>
        <v>47.543374245486177</v>
      </c>
      <c r="AB112" s="18">
        <f>(G112+Population!$B$11*AB111)*Population!N$29</f>
        <v>165.86128151116418</v>
      </c>
      <c r="AC112" s="18">
        <f>AB111*Population!$B$12*Population!$N$29+AC111*Population!$B$11*Population!$N$30+Y112*Population!$L$30</f>
        <v>165.57033175791315</v>
      </c>
      <c r="AD112" s="14">
        <f>(AC111*Population!$B$12*0.5*Population!$N$30)+(AD111*Population!$B$11*Population!N$31)+Y112*Population!$L$31</f>
        <v>82.295624999517429</v>
      </c>
      <c r="AE112" s="13">
        <f>(AC111*Population!$B$12*0.5*Population!$N$30)+(AE111*Population!$B$11*Population!N$31)+Y112*Population!$L$32</f>
        <v>82.295624999517429</v>
      </c>
      <c r="AF112" s="14">
        <f>(AD111*Population!$B$12*Population!N$31)+(AF111*Population!$B$11*Population!N$33)+Y112*Population!$L$33</f>
        <v>81.747948940604147</v>
      </c>
      <c r="AG112" s="13">
        <f>(AE111*Population!$B$12*Population!N$31)+(AG111*Population!$B$11*Population!N$33)+Y112*Population!$L$34</f>
        <v>81.747947383332615</v>
      </c>
      <c r="AH112" s="14">
        <f>(AF111*Population!$B$12*Population!N$33)+(AH111*Population!$B$11*Population!N$35)+Y112*Population!$L$35</f>
        <v>80.733040692925414</v>
      </c>
      <c r="AI112" s="13">
        <f>(AG111*Population!$B$12*Population!N$33)+(AI111*Population!$B$11*Population!N$35)+Y112*Population!$L$36</f>
        <v>80.733012810409519</v>
      </c>
      <c r="AJ112" s="14">
        <f>(AH111*Population!$B$12*Population!N$35)+(AJ111*Population!$B$11*Population!N$37)+Y112*Population!$L$37</f>
        <v>79.639397149090641</v>
      </c>
      <c r="AK112" s="13">
        <f>(AI111*Population!$B$12*Population!N$35)+(AK111*Population!$B$11*Population!N$37)+Y112*Population!$L$38</f>
        <v>79.639140832324998</v>
      </c>
      <c r="AL112" s="14">
        <f>(AJ111*Population!$B$12*Population!N$37)+(AL111*Population!$B$11*Population!N$39)+Y112*Population!$L$39</f>
        <v>78.529134315497316</v>
      </c>
      <c r="AM112" s="13">
        <f>(AK111*Population!$B$12*Population!N$37)+(AM111*Population!$B$11*Population!N$39)+Y112*Population!$L$40</f>
        <v>78.527562650372815</v>
      </c>
      <c r="AN112" s="14">
        <f>(AL111*Population!$B$12*Population!N$39)+(AN111*Population!$B$11*Population!N$41)+Y112*Population!$L$41</f>
        <v>77.378227721457677</v>
      </c>
      <c r="AO112" s="13">
        <f>(AM111*Population!$B$12*Population!N$39)+(AO111*Population!$B$11*Population!N$41)+Y112*Population!$L$42</f>
        <v>77.371035850372436</v>
      </c>
      <c r="AP112" s="15">
        <f>(AN111+AO111)*Population!$B$12*Population!$N$41+AP111*Population!$B$11*Population!$N$43</f>
        <v>147.65326333265585</v>
      </c>
      <c r="AQ112" s="5">
        <f>AP111*Population!N$43*Population!$B$12+AQ111*Population!$B$11*Population!N$44</f>
        <v>139.95158710932657</v>
      </c>
      <c r="AR112" s="5">
        <f>AQ111*Population!N$44*Population!$B$12+AR111*Population!$B$11*Population!N$45</f>
        <v>106.21568331127696</v>
      </c>
      <c r="AS112" s="5">
        <f>(AR111*Population!$B$12+AS111)*Population!N$46</f>
        <v>276.25119273625467</v>
      </c>
    </row>
    <row r="113" spans="1:45">
      <c r="A113">
        <f>A112+Population!$B$2</f>
        <v>110</v>
      </c>
      <c r="B113" s="4">
        <f t="shared" si="32"/>
        <v>1962</v>
      </c>
      <c r="C113" s="54">
        <f t="shared" si="48"/>
        <v>771</v>
      </c>
      <c r="D113" s="12">
        <f>AE112*Population!$Q$32*Population!$C$2+AG112*Population!$Q$34*Population!$C$2+AI112*Population!$Q$36*Population!$C$2+AK112*Population!$Q$38*Population!$C$2+AM112*Population!$Q$40*Population!$C$2+AO111*Population!$Q$42*Population!$C$2</f>
        <v>26.814662437444152</v>
      </c>
      <c r="E113" s="12">
        <f>IF(B112&gt;Population!$B$6*Population!$B$15,Population!$B$8,IF(Population!$J$6=1,D113,Population!$B$8*Population!$B$6*0.9/B112))</f>
        <v>23.761836638153017</v>
      </c>
      <c r="F113" s="12">
        <f>IF(B112&gt;Population!$B$6*0.75,Population!$B$8,E113)</f>
        <v>23.761836638153017</v>
      </c>
      <c r="G113" s="15">
        <f>IF(Population!$J$6=1,IF(E113&gt;H112,H112,E113),IF(E113&gt;X112,X112,E113))</f>
        <v>23.761836638153017</v>
      </c>
      <c r="H113" s="15">
        <f t="shared" si="59"/>
        <v>398</v>
      </c>
      <c r="I113" s="15">
        <f t="shared" si="60"/>
        <v>496</v>
      </c>
      <c r="J113" s="12">
        <f t="shared" si="61"/>
        <v>1.2462311557788945</v>
      </c>
      <c r="K113" s="12">
        <f>AB113*Population!$P$29+AC113*Population!$P$30+AD113*Population!$P$31+AE113*Population!$P$32+AF113*Population!$P$33+AG113*Population!$P$34+AH113*Population!$P$35+AI113*Population!$P$36+AJ113*Population!$P$37+AK113*Population!$P$38+AL113*Population!$P$37+AM113*Population!$P$38+AN113*Population!$P$39+AO113*Population!$P$40+AP113*Population!$P$41+AQ113*Population!$P$42+AR113*Population!$P$43+AS113*Population!$P$44</f>
        <v>4.9610148409675716</v>
      </c>
      <c r="L113" s="12">
        <f t="shared" si="35"/>
        <v>5.9703107131037735E-2</v>
      </c>
      <c r="M113" s="12">
        <f t="shared" si="62"/>
        <v>11.529740127810115</v>
      </c>
      <c r="N113" s="12">
        <f t="shared" si="46"/>
        <v>0.25280326197757391</v>
      </c>
      <c r="O113" s="12">
        <f t="shared" si="37"/>
        <v>764.94972584254072</v>
      </c>
      <c r="P113" s="12">
        <f t="shared" si="38"/>
        <v>207</v>
      </c>
      <c r="Q113" s="12">
        <f t="shared" si="39"/>
        <v>143.52513707872964</v>
      </c>
      <c r="R113" s="12">
        <f t="shared" si="63"/>
        <v>276.25119273625467</v>
      </c>
      <c r="S113" s="12">
        <f t="shared" si="49"/>
        <v>0.14103062067459771</v>
      </c>
      <c r="T113" s="12">
        <f t="shared" si="64"/>
        <v>0.88071642482092871</v>
      </c>
      <c r="U113" s="12">
        <f>Population!$B$13*MIN(Z112:AA112)</f>
        <v>11.885843561371544</v>
      </c>
      <c r="V113" s="12">
        <f>X112*Population!$B$14</f>
        <v>2.1028519516879571</v>
      </c>
      <c r="W113" s="12">
        <f>AO112*T112*Population!$B$12</f>
        <v>9.7331798122801274</v>
      </c>
      <c r="X113" s="12">
        <f t="shared" si="65"/>
        <v>350.52513707872964</v>
      </c>
      <c r="Y113" s="12">
        <f>IF(B112&lt;Vehicle!$B$1*0.75,Vehicle!$B$1*0.01,0)</f>
        <v>0</v>
      </c>
      <c r="Z113" s="14">
        <f t="shared" si="50"/>
        <v>47.529953836117613</v>
      </c>
      <c r="AA113" s="13">
        <f t="shared" si="51"/>
        <v>47.52194735401855</v>
      </c>
      <c r="AB113" s="18">
        <f>(G113+Population!$B$11*AB112)*Population!N$29</f>
        <v>165.86128233036709</v>
      </c>
      <c r="AC113" s="18">
        <f>AB112*Population!$B$12*Population!$N$29+AC112*Population!$B$11*Population!$N$30+Y113*Population!$L$30</f>
        <v>165.57034463292521</v>
      </c>
      <c r="AD113" s="14">
        <f>(AC112*Population!$B$12*0.5*Population!$N$30)+(AD112*Population!$B$11*Population!N$31)+Y113*Population!$L$31</f>
        <v>82.295674689998734</v>
      </c>
      <c r="AE113" s="13">
        <f>(AC112*Population!$B$12*0.5*Population!$N$30)+(AE112*Population!$B$11*Population!N$31)+Y113*Population!$L$32</f>
        <v>82.295674689998734</v>
      </c>
      <c r="AF113" s="14">
        <f>(AD112*Population!$B$12*Population!N$31)+(AF112*Population!$B$11*Population!N$33)+Y113*Population!$L$33</f>
        <v>81.748208020067921</v>
      </c>
      <c r="AG113" s="13">
        <f>(AE112*Population!$B$12*Population!N$31)+(AG112*Population!$B$11*Population!N$33)+Y113*Population!$L$34</f>
        <v>81.748206686535823</v>
      </c>
      <c r="AH113" s="14">
        <f>(AF112*Population!$B$12*Population!N$33)+(AH112*Population!$B$11*Population!N$35)+Y113*Population!$L$35</f>
        <v>80.734034667719115</v>
      </c>
      <c r="AI113" s="13">
        <f>(AG112*Population!$B$12*Population!N$33)+(AI112*Population!$B$11*Population!N$35)+Y113*Population!$L$36</f>
        <v>80.734010592051078</v>
      </c>
      <c r="AJ113" s="14">
        <f>(AH112*Population!$B$12*Population!N$35)+(AJ112*Population!$B$11*Population!N$37)+Y113*Population!$L$37</f>
        <v>79.642424327740187</v>
      </c>
      <c r="AK113" s="13">
        <f>(AI112*Population!$B$12*Population!N$35)+(AK112*Population!$B$11*Population!N$37)+Y113*Population!$L$38</f>
        <v>79.642201073910726</v>
      </c>
      <c r="AL113" s="14">
        <f>(AJ112*Population!$B$12*Population!N$37)+(AL112*Population!$B$11*Population!N$39)+Y113*Population!$L$39</f>
        <v>78.536662824604832</v>
      </c>
      <c r="AM113" s="13">
        <f>(AK112*Population!$B$12*Population!N$37)+(AM112*Population!$B$11*Population!N$39)+Y113*Population!$L$40</f>
        <v>78.535281723204506</v>
      </c>
      <c r="AN113" s="14">
        <f>(AL112*Population!$B$12*Population!N$39)+(AN112*Population!$B$11*Population!N$41)+Y113*Population!$L$41</f>
        <v>77.393761074715201</v>
      </c>
      <c r="AO113" s="13">
        <f>(AM112*Population!$B$12*Population!N$39)+(AO112*Population!$B$11*Population!N$41)+Y113*Population!$L$42</f>
        <v>77.387384357046074</v>
      </c>
      <c r="AP113" s="15">
        <f>(AN112+AO112)*Population!$B$12*Population!$N$41+AP112*Population!$B$11*Population!$N$43</f>
        <v>147.70697257524813</v>
      </c>
      <c r="AQ113" s="5">
        <f>AP112*Population!N$43*Population!$B$12+AQ112*Population!$B$11*Population!N$44</f>
        <v>140.02920082717111</v>
      </c>
      <c r="AR113" s="5">
        <f>AQ112*Population!N$44*Population!$B$12+AR112*Population!$B$11*Population!N$45</f>
        <v>106.29070572073307</v>
      </c>
      <c r="AS113" s="5">
        <f>(AR112*Population!$B$12+AS112)*Population!N$46</f>
        <v>276.70207776356068</v>
      </c>
    </row>
    <row r="114" spans="1:45">
      <c r="A114">
        <f>A113+Population!$B$2</f>
        <v>111</v>
      </c>
      <c r="B114" s="4">
        <f t="shared" si="32"/>
        <v>1963</v>
      </c>
      <c r="C114" s="54">
        <f t="shared" si="48"/>
        <v>771</v>
      </c>
      <c r="D114" s="12">
        <f>AE113*Population!$Q$32*Population!$C$2+AG113*Population!$Q$34*Population!$C$2+AI113*Population!$Q$36*Population!$C$2+AK113*Population!$Q$38*Population!$C$2+AM113*Population!$Q$40*Population!$C$2+AO112*Population!$Q$42*Population!$C$2</f>
        <v>26.815780120933507</v>
      </c>
      <c r="E114" s="12">
        <f>IF(B113&gt;Population!$B$6*Population!$B$15,Population!$B$8,IF(Population!$J$6=1,D114,Population!$B$8*Population!$B$6*0.9/B113))</f>
        <v>23.761836638153017</v>
      </c>
      <c r="F114" s="12">
        <f>IF(B113&gt;Population!$B$6*0.75,Population!$B$8,E114)</f>
        <v>23.761836638153017</v>
      </c>
      <c r="G114" s="15">
        <f>IF(Population!$J$6=1,IF(E114&gt;H113,H113,E114),IF(E114&gt;X113,X113,E114))</f>
        <v>23.761836638153017</v>
      </c>
      <c r="H114" s="15">
        <f t="shared" si="59"/>
        <v>398</v>
      </c>
      <c r="I114" s="15">
        <f t="shared" si="60"/>
        <v>496</v>
      </c>
      <c r="J114" s="12">
        <f t="shared" si="61"/>
        <v>1.2462311557788945</v>
      </c>
      <c r="K114" s="12">
        <f>AB114*Population!$P$29+AC114*Population!$P$30+AD114*Population!$P$31+AE114*Population!$P$32+AF114*Population!$P$33+AG114*Population!$P$34+AH114*Population!$P$35+AI114*Population!$P$36+AJ114*Population!$P$37+AK114*Population!$P$38+AL114*Population!$P$37+AM114*Population!$P$38+AN114*Population!$P$39+AO114*Population!$P$40+AP114*Population!$P$41+AQ114*Population!$P$42+AR114*Population!$P$43+AS114*Population!$P$44</f>
        <v>4.9650504879655815</v>
      </c>
      <c r="L114" s="12">
        <f t="shared" si="35"/>
        <v>5.9703107131037735E-2</v>
      </c>
      <c r="M114" s="12">
        <f t="shared" si="62"/>
        <v>11.529924122459644</v>
      </c>
      <c r="N114" s="12">
        <f t="shared" si="46"/>
        <v>0.25267447784004077</v>
      </c>
      <c r="O114" s="12">
        <f t="shared" si="37"/>
        <v>765.86829394681365</v>
      </c>
      <c r="P114" s="12">
        <f t="shared" si="38"/>
        <v>207</v>
      </c>
      <c r="Q114" s="12">
        <f t="shared" si="39"/>
        <v>143.56585302659317</v>
      </c>
      <c r="R114" s="12">
        <f t="shared" si="63"/>
        <v>276.70207776356068</v>
      </c>
      <c r="S114" s="12">
        <f t="shared" si="49"/>
        <v>0.14118204794646244</v>
      </c>
      <c r="T114" s="12">
        <f t="shared" si="64"/>
        <v>0.88081872619747026</v>
      </c>
      <c r="U114" s="12">
        <f>Population!$B$13*MIN(Z113:AA113)</f>
        <v>11.880486838504638</v>
      </c>
      <c r="V114" s="12">
        <f>X113*Population!$B$14</f>
        <v>2.1031508224723781</v>
      </c>
      <c r="W114" s="12">
        <f>AO113*T113*Population!$B$12</f>
        <v>9.7366200681686674</v>
      </c>
      <c r="X114" s="12">
        <f t="shared" si="65"/>
        <v>350.56585302659317</v>
      </c>
      <c r="Y114" s="12">
        <f>IF(B113&lt;Vehicle!$B$1*0.75,Vehicle!$B$1*0.01,0)</f>
        <v>0</v>
      </c>
      <c r="Z114" s="14">
        <f t="shared" si="50"/>
        <v>47.51432003921974</v>
      </c>
      <c r="AA114" s="13">
        <f t="shared" si="51"/>
        <v>47.5072381389013</v>
      </c>
      <c r="AB114" s="18">
        <f>(G114+Population!$B$11*AB113)*Population!N$29</f>
        <v>165.8612830322559</v>
      </c>
      <c r="AC114" s="18">
        <f>AB113*Population!$B$12*Population!$N$29+AC113*Population!$B$11*Population!$N$30+Y114*Population!$L$30</f>
        <v>165.57035578314827</v>
      </c>
      <c r="AD114" s="14">
        <f>(AC113*Population!$B$12*0.5*Population!$N$30)+(AD113*Population!$B$11*Population!N$31)+Y114*Population!$L$31</f>
        <v>82.295718160686633</v>
      </c>
      <c r="AE114" s="13">
        <f>(AC113*Population!$B$12*0.5*Population!$N$30)+(AE113*Population!$B$11*Population!N$31)+Y114*Population!$L$32</f>
        <v>82.295718160686633</v>
      </c>
      <c r="AF114" s="14">
        <f>(AD113*Population!$B$12*Population!N$31)+(AF113*Population!$B$11*Population!N$33)+Y114*Population!$L$33</f>
        <v>81.748436968424002</v>
      </c>
      <c r="AG114" s="13">
        <f>(AE113*Population!$B$12*Population!N$31)+(AG113*Population!$B$11*Population!N$33)+Y114*Population!$L$34</f>
        <v>81.748435826485789</v>
      </c>
      <c r="AH114" s="14">
        <f>(AF113*Population!$B$12*Population!N$33)+(AH113*Population!$B$11*Population!N$35)+Y114*Population!$L$35</f>
        <v>80.734921986395335</v>
      </c>
      <c r="AI114" s="13">
        <f>(AG113*Population!$B$12*Population!N$33)+(AI113*Population!$B$11*Population!N$35)+Y114*Population!$L$36</f>
        <v>80.734901199407091</v>
      </c>
      <c r="AJ114" s="14">
        <f>(AH113*Population!$B$12*Population!N$35)+(AJ113*Population!$B$11*Population!N$37)+Y114*Population!$L$37</f>
        <v>79.645155794191808</v>
      </c>
      <c r="AK114" s="13">
        <f>(AI113*Population!$B$12*Population!N$35)+(AK113*Population!$B$11*Population!N$37)+Y114*Population!$L$38</f>
        <v>79.644961368401042</v>
      </c>
      <c r="AL114" s="14">
        <f>(AJ113*Population!$B$12*Population!N$37)+(AL113*Population!$B$11*Population!N$39)+Y114*Population!$L$39</f>
        <v>78.54353506641722</v>
      </c>
      <c r="AM114" s="13">
        <f>(AK113*Population!$B$12*Population!N$37)+(AM113*Population!$B$11*Population!N$39)+Y114*Population!$L$40</f>
        <v>78.542321705946364</v>
      </c>
      <c r="AN114" s="14">
        <f>(AL113*Population!$B$12*Population!N$39)+(AN113*Population!$B$11*Population!N$41)+Y114*Population!$L$41</f>
        <v>77.408123250384577</v>
      </c>
      <c r="AO114" s="13">
        <f>(AM113*Population!$B$12*Population!N$39)+(AO113*Population!$B$11*Population!N$41)+Y114*Population!$L$42</f>
        <v>77.402471065254161</v>
      </c>
      <c r="AP114" s="15">
        <f>(AN113+AO113)*Population!$B$12*Population!$N$41+AP113*Population!$B$11*Population!$N$43</f>
        <v>147.75722111099969</v>
      </c>
      <c r="AQ114" s="5">
        <f>AP113*Population!N$43*Population!$B$12+AQ113*Population!$B$11*Population!N$44</f>
        <v>140.10286167873178</v>
      </c>
      <c r="AR114" s="5">
        <f>AQ113*Population!N$44*Population!$B$12+AR113*Population!$B$11*Population!N$45</f>
        <v>106.36276924678627</v>
      </c>
      <c r="AS114" s="5">
        <f>(AR113*Population!$B$12+AS113)*Population!N$46</f>
        <v>277.14036011890579</v>
      </c>
    </row>
    <row r="115" spans="1:45">
      <c r="A115">
        <f>A114+Population!$B$2</f>
        <v>112</v>
      </c>
      <c r="B115" s="4">
        <f t="shared" si="32"/>
        <v>1964</v>
      </c>
      <c r="C115" s="54">
        <f t="shared" si="48"/>
        <v>772</v>
      </c>
      <c r="D115" s="12">
        <f>AE114*Population!$Q$32*Population!$C$2+AG114*Population!$Q$34*Population!$C$2+AI114*Population!$Q$36*Population!$C$2+AK114*Population!$Q$38*Population!$C$2+AM114*Population!$Q$40*Population!$C$2+AO113*Population!$Q$42*Population!$C$2</f>
        <v>26.816800352452884</v>
      </c>
      <c r="E115" s="12">
        <f>IF(B114&gt;Population!$B$6*Population!$B$15,Population!$B$8,IF(Population!$J$6=1,D115,Population!$B$8*Population!$B$6*0.9/B114))</f>
        <v>23.761836638153017</v>
      </c>
      <c r="F115" s="12">
        <f>IF(B114&gt;Population!$B$6*0.75,Population!$B$8,E115)</f>
        <v>23.761836638153017</v>
      </c>
      <c r="G115" s="15">
        <f>IF(Population!$J$6=1,IF(E115&gt;H114,H114,E115),IF(E115&gt;X114,X114,E115))</f>
        <v>23.761836638153017</v>
      </c>
      <c r="H115" s="15">
        <f t="shared" si="59"/>
        <v>398</v>
      </c>
      <c r="I115" s="15">
        <f t="shared" si="60"/>
        <v>496</v>
      </c>
      <c r="J115" s="12">
        <f t="shared" si="61"/>
        <v>1.2462311557788945</v>
      </c>
      <c r="K115" s="12">
        <f>AB115*Population!$P$29+AC115*Population!$P$30+AD115*Population!$P$31+AE115*Population!$P$32+AF115*Population!$P$33+AG115*Population!$P$34+AH115*Population!$P$35+AI115*Population!$P$36+AJ115*Population!$P$37+AK115*Population!$P$38+AL115*Population!$P$37+AM115*Population!$P$38+AN115*Population!$P$39+AO115*Population!$P$40+AP115*Population!$P$41+AQ115*Population!$P$42+AR115*Population!$P$43+AS115*Population!$P$44</f>
        <v>4.9689530438232028</v>
      </c>
      <c r="L115" s="12">
        <f t="shared" si="35"/>
        <v>5.9703107131037735E-2</v>
      </c>
      <c r="M115" s="12">
        <f t="shared" si="62"/>
        <v>11.530089426229104</v>
      </c>
      <c r="N115" s="12">
        <f t="shared" si="46"/>
        <v>0.25254582484725052</v>
      </c>
      <c r="O115" s="12">
        <f t="shared" si="37"/>
        <v>766.80076396174888</v>
      </c>
      <c r="P115" s="12">
        <f t="shared" si="38"/>
        <v>207</v>
      </c>
      <c r="Q115" s="12">
        <f t="shared" si="39"/>
        <v>143.59961801912556</v>
      </c>
      <c r="R115" s="12">
        <f t="shared" si="63"/>
        <v>277.14036011890579</v>
      </c>
      <c r="S115" s="12">
        <f t="shared" si="49"/>
        <v>0.14132702400526109</v>
      </c>
      <c r="T115" s="12">
        <f t="shared" si="64"/>
        <v>0.88090356286212457</v>
      </c>
      <c r="U115" s="12">
        <f>Population!$B$13*MIN(Z114:AA114)</f>
        <v>11.876809534725325</v>
      </c>
      <c r="V115" s="12">
        <f>X114*Population!$B$14</f>
        <v>2.1033951181595589</v>
      </c>
      <c r="W115" s="12">
        <f>AO114*T114*Population!$B$12</f>
        <v>9.739649424033388</v>
      </c>
      <c r="X115" s="12">
        <f t="shared" si="65"/>
        <v>350.59961801912556</v>
      </c>
      <c r="Y115" s="12">
        <f>IF(B114&lt;Vehicle!$B$1*0.75,Vehicle!$B$1*0.01,0)</f>
        <v>0</v>
      </c>
      <c r="Z115" s="14">
        <f t="shared" si="50"/>
        <v>47.503547665454562</v>
      </c>
      <c r="AA115" s="13">
        <f t="shared" si="51"/>
        <v>47.497285265985511</v>
      </c>
      <c r="AB115" s="18">
        <f>(G115+Population!$B$11*AB114)*Population!N$29</f>
        <v>165.86128363363062</v>
      </c>
      <c r="AC115" s="18">
        <f>AB114*Population!$B$12*Population!$N$29+AC114*Population!$B$11*Population!$N$30+Y115*Population!$L$30</f>
        <v>165.57036543856105</v>
      </c>
      <c r="AD115" s="14">
        <f>(AC114*Population!$B$12*0.5*Population!$N$30)+(AD114*Population!$B$11*Population!N$31)+Y115*Population!$L$31</f>
        <v>82.295756182032221</v>
      </c>
      <c r="AE115" s="13">
        <f>(AC114*Population!$B$12*0.5*Population!$N$30)+(AE114*Population!$B$11*Population!N$31)+Y115*Population!$L$32</f>
        <v>82.295756182032221</v>
      </c>
      <c r="AF115" s="14">
        <f>(AD114*Population!$B$12*Population!N$31)+(AF114*Population!$B$11*Population!N$33)+Y115*Population!$L$33</f>
        <v>81.748639227034005</v>
      </c>
      <c r="AG115" s="13">
        <f>(AE114*Population!$B$12*Population!N$31)+(AG114*Population!$B$11*Population!N$33)+Y115*Population!$L$34</f>
        <v>81.748638249162624</v>
      </c>
      <c r="AH115" s="14">
        <f>(AF114*Population!$B$12*Population!N$33)+(AH114*Population!$B$11*Population!N$35)+Y115*Population!$L$35</f>
        <v>80.735713760725986</v>
      </c>
      <c r="AI115" s="13">
        <f>(AG114*Population!$B$12*Population!N$33)+(AI114*Population!$B$11*Population!N$35)+Y115*Population!$L$36</f>
        <v>80.73569581453836</v>
      </c>
      <c r="AJ115" s="14">
        <f>(AH114*Population!$B$12*Population!N$35)+(AJ114*Population!$B$11*Population!N$37)+Y115*Population!$L$37</f>
        <v>79.647619072369025</v>
      </c>
      <c r="AK115" s="13">
        <f>(AI114*Population!$B$12*Population!N$35)+(AK114*Population!$B$11*Population!N$37)+Y115*Population!$L$38</f>
        <v>79.64744977779236</v>
      </c>
      <c r="AL115" s="14">
        <f>(AJ114*Population!$B$12*Population!N$37)+(AL114*Population!$B$11*Population!N$39)+Y115*Population!$L$39</f>
        <v>78.549803709943603</v>
      </c>
      <c r="AM115" s="13">
        <f>(AK114*Population!$B$12*Population!N$37)+(AM114*Population!$B$11*Population!N$39)+Y115*Population!$L$40</f>
        <v>78.548737961742773</v>
      </c>
      <c r="AN115" s="14">
        <f>(AL114*Population!$B$12*Population!N$39)+(AN114*Population!$B$11*Population!N$41)+Y115*Population!$L$41</f>
        <v>77.421389914507529</v>
      </c>
      <c r="AO115" s="13">
        <f>(AM114*Population!$B$12*Population!N$39)+(AO114*Population!$B$11*Population!N$41)+Y115*Population!$L$42</f>
        <v>77.416381481874893</v>
      </c>
      <c r="AP115" s="15">
        <f>(AN114+AO114)*Population!$B$12*Population!$N$41+AP114*Population!$B$11*Population!$N$43</f>
        <v>147.80417793174607</v>
      </c>
      <c r="AQ115" s="5">
        <f>AP114*Population!N$43*Population!$B$12+AQ114*Population!$B$11*Population!N$44</f>
        <v>140.17266812104441</v>
      </c>
      <c r="AR115" s="5">
        <f>AQ114*Population!N$44*Population!$B$12+AR114*Population!$B$11*Population!N$45</f>
        <v>106.43186411402753</v>
      </c>
      <c r="AS115" s="5">
        <f>(AR114*Population!$B$12+AS114)*Population!N$46</f>
        <v>277.56627514633277</v>
      </c>
    </row>
  </sheetData>
  <mergeCells count="6">
    <mergeCell ref="AJ1:AK1"/>
    <mergeCell ref="AL1:AM1"/>
    <mergeCell ref="AN1:AO1"/>
    <mergeCell ref="AD1:AE1"/>
    <mergeCell ref="AF1:AG1"/>
    <mergeCell ref="AH1:AI1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Calendar</vt:lpstr>
      <vt:lpstr>Vehicle</vt:lpstr>
      <vt:lpstr>Automation</vt:lpstr>
      <vt:lpstr>Conversion</vt:lpstr>
      <vt:lpstr>Geometry</vt:lpstr>
      <vt:lpstr>Gravity</vt:lpstr>
      <vt:lpstr>Power Consumption</vt:lpstr>
      <vt:lpstr>Population</vt:lpstr>
      <vt:lpstr>Population Model</vt:lpstr>
      <vt:lpstr>Vocations</vt:lpstr>
      <vt:lpstr>Agriculture</vt:lpstr>
      <vt:lpstr>Crops</vt:lpstr>
      <vt:lpstr>Diet</vt:lpstr>
      <vt:lpstr>Aquaculture</vt:lpstr>
      <vt:lpstr>Cattle</vt:lpstr>
      <vt:lpstr>Protein</vt:lpstr>
      <vt:lpstr>Buildings</vt:lpstr>
      <vt:lpstr>Vocations!Criteria</vt:lpstr>
      <vt:lpstr>Vocations!Extract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Woods</dc:creator>
  <cp:lastModifiedBy>Sean Woods</cp:lastModifiedBy>
  <cp:lastPrinted>2019-03-27T01:25:21Z</cp:lastPrinted>
  <dcterms:created xsi:type="dcterms:W3CDTF">2019-01-31T03:30:08Z</dcterms:created>
  <dcterms:modified xsi:type="dcterms:W3CDTF">2021-02-19T01:01:21Z</dcterms:modified>
</cp:coreProperties>
</file>